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Mode d'emploi" sheetId="1" state="visible" r:id="rId3"/>
    <sheet name="Tableau d’amortissement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<sst xmlns="http://schemas.openxmlformats.org/spreadsheetml/2006/main" count="42" uniqueCount="41">
  <si>
    <t xml:space="preserve">Tableau d’amortissement d’un emprunt</t>
  </si>
  <si>
    <t xml:space="preserve">Modèle gratuit Espace commercial – BTS MCO, gestion opérationnelle (E7)</t>
  </si>
  <si>
    <t xml:space="preserve">À quoi sert ce classeur</t>
  </si>
  <si>
    <t xml:space="preserve">Saisir le montant emprunté, le taux annuel, la durée, le nombre d’échéances par an et le mode de remboursement (annuités constantes ou amortissement constant) : le taux par période, l’échéance, le tableau complet (jusqu’à 360 échéances) et le coût du crédit se calculent. Les intérêts sont arrondis au centime ; la dernière échéance solde le capital restant dû.</t>
  </si>
  <si>
    <t xml:space="preserve">Légende</t>
  </si>
  <si>
    <t xml:space="preserve">Cellule à saisir</t>
  </si>
  <si>
    <t xml:space="preserve">texte bleu sur fond blanc : remplacez la valeur de l’exemple par la vôtre</t>
  </si>
  <si>
    <t xml:space="preserve">Cellule calculée</t>
  </si>
  <si>
    <t xml:space="preserve">fond gris : formule, à ne pas modifier</t>
  </si>
  <si>
    <t xml:space="preserve">Exemple déjà saisi</t>
  </si>
  <si>
    <t xml:space="preserve">Exemple du cours « Le financement de l’investissement » : 100 000 € à 1,2 % par an sur 5 ans, par mensualités : mensualité de 1 718 €, 3 079,94 € d’intérêts au total (3 080 € dans le cours). Choisir « Amortissement constant » dans la cellule I8 pour comparer (3 050 € d’intérêts).</t>
  </si>
  <si>
    <t xml:space="preserve">Les feuilles</t>
  </si>
  <si>
    <t xml:space="preserve">Tableau d’amortissement</t>
  </si>
  <si>
    <t xml:space="preserve">paramètres, échéance, coût du crédit et tableau période par période</t>
  </si>
  <si>
    <t xml:space="preserve">Les formules du cours</t>
  </si>
  <si>
    <t xml:space="preserve">Annuité constante a = C × i ÷ (1 – (1 + i)^–n), avec i = taux annuel ÷ nombre d’échéances par an</t>
  </si>
  <si>
    <t xml:space="preserve">Intérêts = capital restant dû × i ; amortissement = échéance – intérêts ; capital de fin = capital de début – amortissement</t>
  </si>
  <si>
    <t xml:space="preserve">Compatible Excel, LibreOffice Calc et Google Sheets. Cours, exercices corrigés et autres modèles :</t>
  </si>
  <si>
    <t xml:space="preserve">https://www.espacecommercial.fr/cours/mco3/modeles-tableaux-vierges.php</t>
  </si>
  <si>
    <t xml:space="preserve">Saisir les cellules blanches ; le tableau s’allonge ou se raccourcit selon la durée.</t>
  </si>
  <si>
    <t xml:space="preserve">Montant emprunté (C)</t>
  </si>
  <si>
    <t xml:space="preserve">Périodes</t>
  </si>
  <si>
    <t xml:space="preserve">Capital restant dû (début de période)</t>
  </si>
  <si>
    <t xml:space="preserve">Intérêts</t>
  </si>
  <si>
    <t xml:space="preserve">Amortissement du capital</t>
  </si>
  <si>
    <t xml:space="preserve">Échéance (annuité ou mensualité)</t>
  </si>
  <si>
    <t xml:space="preserve">Capital restant dû (fin de période)</t>
  </si>
  <si>
    <t xml:space="preserve">Taux d’intérêt annuel</t>
  </si>
  <si>
    <t xml:space="preserve">Durée (en années)</t>
  </si>
  <si>
    <t xml:space="preserve">Nombre d’échéances par an (12, 4, 2 ou 1)</t>
  </si>
  <si>
    <t xml:space="preserve">Mode de remboursement</t>
  </si>
  <si>
    <t xml:space="preserve">Annuités constantes</t>
  </si>
  <si>
    <t xml:space="preserve">Arrondi de l’échéance constante</t>
  </si>
  <si>
    <t xml:space="preserve">au centime</t>
  </si>
  <si>
    <t xml:space="preserve">Taux par période (i) = taux annuel ÷ échéances par an</t>
  </si>
  <si>
    <t xml:space="preserve">Nombre d’échéances (n) = durée × échéances par an</t>
  </si>
  <si>
    <t xml:space="preserve">Échéance constante a = C × i ÷ (1 – (1 + i)^–n)</t>
  </si>
  <si>
    <t xml:space="preserve">Amortissement constant = C ÷ n</t>
  </si>
  <si>
    <t xml:space="preserve">Total des intérêts (coût du crédit hors frais et assurance)</t>
  </si>
  <si>
    <t xml:space="preserve">Total des échéances versées</t>
  </si>
  <si>
    <t xml:space="preserve">Contrôle : total des amortissements = montant emprunté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</si>
</sst>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#,##0;\-#,##0"/>
    <numFmt numFmtId="166" formatCode="#,##0.00&quot; €&quot;;\-#,##0.00&quot; €&quot;"/>
    <numFmt numFmtId="167" formatCode="0.00%"/>
    <numFmt numFmtId="168" formatCode="0"/>
    <numFmt numFmtId="169" formatCode="#,##0.00;\-#,##0.00"/>
    <numFmt numFmtId="170" formatCode="0.0000%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F2D3D"/>
      <name val="Arial"/>
      <family val="0"/>
      <charset val="1"/>
    </font>
    <font>
      <i val="true"/>
      <sz val="9"/>
      <color rgb="FF555555"/>
      <name val="Arial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sz val="10"/>
      <color rgb="FF0000FF"/>
      <name val="Arial"/>
      <family val="0"/>
      <charset val="1"/>
    </font>
    <font>
      <u val="single"/>
      <sz val="10"/>
      <color rgb="FF0563C1"/>
      <name val="Arial"/>
      <family val="0"/>
      <charset val="1"/>
    </font>
    <font>
      <b val="true"/>
      <sz val="10"/>
      <color rgb="FF1F2D3D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EDEDED"/>
      </patternFill>
    </fill>
    <fill>
      <patternFill patternType="solid">
        <fgColor rgb="FFEDEDED"/>
        <bgColor rgb="FFDDEBF7"/>
      </patternFill>
    </fill>
    <fill>
      <patternFill patternType="solid">
        <fgColor rgb="FFDDEBF7"/>
        <bgColor rgb="FFEDEDED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8" fillId="2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8" fillId="2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0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8" fillId="2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7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7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8" fillId="2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0" fontId="7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7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6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7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DEDED"/>
      <rgbColor rgb="FFDDEBF7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A6A6A6"/>
      <rgbColor rgb="FF003366"/>
      <rgbColor rgb="FF339966"/>
      <rgbColor rgb="FF003300"/>
      <rgbColor rgb="FF333300"/>
      <rgbColor rgb="FF993300"/>
      <rgbColor rgb="FF993366"/>
      <rgbColor rgb="FF333399"/>
      <rgbColor rgb="FF1F2D3D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www.espacecommercial.fr/cours/mco3/modeles-tableaux-vierges.php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2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16"/>
    <col collapsed="false" customWidth="true" hidden="false" outlineLevel="0" max="3" min="3" style="0" width="80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</row>
    <row r="5" customFormat="false" ht="60" hidden="false" customHeight="true" outlineLevel="0" collapsed="false">
      <c r="A5" s="4" t="s">
        <v>3</v>
      </c>
      <c r="B5" s="4"/>
      <c r="C5" s="4"/>
    </row>
    <row r="7" customFormat="false" ht="15" hidden="false" customHeight="false" outlineLevel="0" collapsed="false">
      <c r="A7" s="3" t="s">
        <v>4</v>
      </c>
    </row>
    <row r="8" customFormat="false" ht="15" hidden="false" customHeight="false" outlineLevel="0" collapsed="false">
      <c r="A8" s="5" t="s">
        <v>5</v>
      </c>
      <c r="B8" s="6" t="n">
        <v>1000</v>
      </c>
      <c r="C8" s="7" t="s">
        <v>6</v>
      </c>
    </row>
    <row r="9" customFormat="false" ht="15" hidden="false" customHeight="false" outlineLevel="0" collapsed="false">
      <c r="A9" s="5" t="s">
        <v>7</v>
      </c>
      <c r="B9" s="8" t="n">
        <f aca="false">B8*2</f>
        <v>2000</v>
      </c>
      <c r="C9" s="7" t="s">
        <v>8</v>
      </c>
    </row>
    <row r="11" customFormat="false" ht="15" hidden="false" customHeight="false" outlineLevel="0" collapsed="false">
      <c r="A11" s="3" t="s">
        <v>9</v>
      </c>
    </row>
    <row r="12" customFormat="false" ht="45" hidden="false" customHeight="true" outlineLevel="0" collapsed="false">
      <c r="A12" s="4" t="s">
        <v>10</v>
      </c>
      <c r="B12" s="4"/>
      <c r="C12" s="4"/>
    </row>
    <row r="14" customFormat="false" ht="15" hidden="false" customHeight="false" outlineLevel="0" collapsed="false">
      <c r="A14" s="3" t="s">
        <v>11</v>
      </c>
    </row>
    <row r="15" customFormat="false" ht="15" hidden="false" customHeight="false" outlineLevel="0" collapsed="false">
      <c r="A15" s="7" t="s">
        <v>12</v>
      </c>
      <c r="B15" s="9" t="s">
        <v>13</v>
      </c>
      <c r="C15" s="9"/>
    </row>
    <row r="17" customFormat="false" ht="15" hidden="false" customHeight="false" outlineLevel="0" collapsed="false">
      <c r="A17" s="3" t="s">
        <v>14</v>
      </c>
    </row>
    <row r="18" customFormat="false" ht="15" hidden="false" customHeight="false" outlineLevel="0" collapsed="false">
      <c r="A18" s="9" t="s">
        <v>15</v>
      </c>
      <c r="B18" s="9"/>
      <c r="C18" s="9"/>
    </row>
    <row r="19" customFormat="false" ht="15" hidden="false" customHeight="false" outlineLevel="0" collapsed="false">
      <c r="A19" s="9" t="s">
        <v>16</v>
      </c>
      <c r="B19" s="9"/>
      <c r="C19" s="9"/>
    </row>
    <row r="21" customFormat="false" ht="15" hidden="false" customHeight="false" outlineLevel="0" collapsed="false">
      <c r="A21" s="2" t="s">
        <v>17</v>
      </c>
    </row>
    <row r="22" customFormat="false" ht="15" hidden="false" customHeight="false" outlineLevel="0" collapsed="false">
      <c r="A22" s="10" t="s">
        <v>18</v>
      </c>
    </row>
  </sheetData>
  <mergeCells count="5">
    <mergeCell ref="A5:C5"/>
    <mergeCell ref="A12:C12"/>
    <mergeCell ref="B15:C15"/>
    <mergeCell ref="A18:C18"/>
    <mergeCell ref="A19:C19"/>
  </mergeCells>
  <hyperlinks>
    <hyperlink ref="A22" r:id="rId1" display="https://www.espacecommercial.fr/cours/mco3/modeles-tableaux-vierges.php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36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22"/>
    <col collapsed="false" customWidth="true" hidden="false" outlineLevel="0" max="3" min="3" style="0" width="16"/>
    <col collapsed="false" customWidth="true" hidden="false" outlineLevel="0" max="5" min="4" style="0" width="18"/>
    <col collapsed="false" customWidth="true" hidden="false" outlineLevel="0" max="6" min="6" style="0" width="22"/>
    <col collapsed="false" customWidth="true" hidden="false" outlineLevel="0" max="7" min="7" style="0" width="3"/>
    <col collapsed="false" customWidth="true" hidden="false" outlineLevel="0" max="8" min="8" style="0" width="44"/>
    <col collapsed="false" customWidth="true" hidden="false" outlineLevel="0" max="9" min="9" style="0" width="18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19</v>
      </c>
    </row>
    <row r="4" customFormat="false" ht="15" hidden="false" customHeight="false" outlineLevel="0" collapsed="false">
      <c r="H4" s="5" t="s">
        <v>20</v>
      </c>
      <c r="I4" s="11" t="n">
        <v>100000</v>
      </c>
    </row>
    <row r="5" customFormat="false" ht="33.75" hidden="false" customHeight="true" outlineLevel="0" collapsed="false">
      <c r="A5" s="12" t="s">
        <v>21</v>
      </c>
      <c r="B5" s="12" t="s">
        <v>22</v>
      </c>
      <c r="C5" s="12" t="s">
        <v>23</v>
      </c>
      <c r="D5" s="12" t="s">
        <v>24</v>
      </c>
      <c r="E5" s="12" t="s">
        <v>25</v>
      </c>
      <c r="F5" s="12" t="s">
        <v>26</v>
      </c>
      <c r="H5" s="5" t="s">
        <v>27</v>
      </c>
      <c r="I5" s="13" t="n">
        <v>0.012</v>
      </c>
    </row>
    <row r="6" customFormat="false" ht="15" hidden="false" customHeight="false" outlineLevel="0" collapsed="false">
      <c r="A6" s="14" t="n">
        <f aca="false">IF(1&gt;$I$12,"",1)</f>
        <v>1</v>
      </c>
      <c r="B6" s="15" t="n">
        <f aca="false">IF(A6="","",$I$4)</f>
        <v>100000</v>
      </c>
      <c r="C6" s="15" t="n">
        <f aca="false">IF(A6="","",ROUND(B6*$I$11,2))</f>
        <v>100</v>
      </c>
      <c r="D6" s="15" t="n">
        <f aca="false">IF(A6="","",IF(A6=$I$12,B6,IF($I$8="Amortissement constant",$I$14,$I$13-C6)))</f>
        <v>1618</v>
      </c>
      <c r="E6" s="15" t="n">
        <f aca="false">IF(A6="","",C6+D6)</f>
        <v>1718</v>
      </c>
      <c r="F6" s="15" t="n">
        <f aca="false">IF(A6="","",ROUND(B6-D6,2))</f>
        <v>98382</v>
      </c>
      <c r="H6" s="5" t="s">
        <v>28</v>
      </c>
      <c r="I6" s="16" t="n">
        <v>5</v>
      </c>
    </row>
    <row r="7" customFormat="false" ht="15" hidden="false" customHeight="false" outlineLevel="0" collapsed="false">
      <c r="A7" s="14" t="n">
        <f aca="false">IF(2&gt;$I$12,"",2)</f>
        <v>2</v>
      </c>
      <c r="B7" s="15" t="n">
        <f aca="false">IF(A7="","",F6)</f>
        <v>98382</v>
      </c>
      <c r="C7" s="15" t="n">
        <f aca="false">IF(A7="","",ROUND(B7*$I$11,2))</f>
        <v>98.38</v>
      </c>
      <c r="D7" s="15" t="n">
        <f aca="false">IF(A7="","",IF(A7=$I$12,B7,IF($I$8="Amortissement constant",$I$14,$I$13-C7)))</f>
        <v>1619.62</v>
      </c>
      <c r="E7" s="15" t="n">
        <f aca="false">IF(A7="","",C7+D7)</f>
        <v>1718</v>
      </c>
      <c r="F7" s="15" t="n">
        <f aca="false">IF(A7="","",ROUND(B7-D7,2))</f>
        <v>96762.38</v>
      </c>
      <c r="H7" s="5" t="s">
        <v>29</v>
      </c>
      <c r="I7" s="16" t="n">
        <v>12</v>
      </c>
    </row>
    <row r="8" customFormat="false" ht="15" hidden="false" customHeight="false" outlineLevel="0" collapsed="false">
      <c r="A8" s="14" t="n">
        <f aca="false">IF(3&gt;$I$12,"",3)</f>
        <v>3</v>
      </c>
      <c r="B8" s="15" t="n">
        <f aca="false">IF(A8="","",F7)</f>
        <v>96762.38</v>
      </c>
      <c r="C8" s="15" t="n">
        <f aca="false">IF(A8="","",ROUND(B8*$I$11,2))</f>
        <v>96.76</v>
      </c>
      <c r="D8" s="15" t="n">
        <f aca="false">IF(A8="","",IF(A8=$I$12,B8,IF($I$8="Amortissement constant",$I$14,$I$13-C8)))</f>
        <v>1621.24</v>
      </c>
      <c r="E8" s="15" t="n">
        <f aca="false">IF(A8="","",C8+D8)</f>
        <v>1718</v>
      </c>
      <c r="F8" s="15" t="n">
        <f aca="false">IF(A8="","",ROUND(B8-D8,2))</f>
        <v>95141.14</v>
      </c>
      <c r="H8" s="5" t="s">
        <v>30</v>
      </c>
      <c r="I8" s="17" t="s">
        <v>31</v>
      </c>
    </row>
    <row r="9" customFormat="false" ht="15" hidden="false" customHeight="false" outlineLevel="0" collapsed="false">
      <c r="A9" s="14" t="n">
        <f aca="false">IF(4&gt;$I$12,"",4)</f>
        <v>4</v>
      </c>
      <c r="B9" s="15" t="n">
        <f aca="false">IF(A9="","",F8)</f>
        <v>95141.14</v>
      </c>
      <c r="C9" s="15" t="n">
        <f aca="false">IF(A9="","",ROUND(B9*$I$11,2))</f>
        <v>95.14</v>
      </c>
      <c r="D9" s="15" t="n">
        <f aca="false">IF(A9="","",IF(A9=$I$12,B9,IF($I$8="Amortissement constant",$I$14,$I$13-C9)))</f>
        <v>1622.86</v>
      </c>
      <c r="E9" s="15" t="n">
        <f aca="false">IF(A9="","",C9+D9)</f>
        <v>1718</v>
      </c>
      <c r="F9" s="15" t="n">
        <f aca="false">IF(A9="","",ROUND(B9-D9,2))</f>
        <v>93518.28</v>
      </c>
      <c r="H9" s="5" t="s">
        <v>32</v>
      </c>
      <c r="I9" s="17" t="s">
        <v>33</v>
      </c>
    </row>
    <row r="10" customFormat="false" ht="15" hidden="false" customHeight="false" outlineLevel="0" collapsed="false">
      <c r="A10" s="14" t="n">
        <f aca="false">IF(5&gt;$I$12,"",5)</f>
        <v>5</v>
      </c>
      <c r="B10" s="15" t="n">
        <f aca="false">IF(A10="","",F9)</f>
        <v>93518.28</v>
      </c>
      <c r="C10" s="15" t="n">
        <f aca="false">IF(A10="","",ROUND(B10*$I$11,2))</f>
        <v>93.52</v>
      </c>
      <c r="D10" s="15" t="n">
        <f aca="false">IF(A10="","",IF(A10=$I$12,B10,IF($I$8="Amortissement constant",$I$14,$I$13-C10)))</f>
        <v>1624.48</v>
      </c>
      <c r="E10" s="15" t="n">
        <f aca="false">IF(A10="","",C10+D10)</f>
        <v>1718</v>
      </c>
      <c r="F10" s="15" t="n">
        <f aca="false">IF(A10="","",ROUND(B10-D10,2))</f>
        <v>91893.8</v>
      </c>
    </row>
    <row r="11" customFormat="false" ht="23.85" hidden="false" customHeight="false" outlineLevel="0" collapsed="false">
      <c r="A11" s="14" t="n">
        <f aca="false">IF(6&gt;$I$12,"",6)</f>
        <v>6</v>
      </c>
      <c r="B11" s="15" t="n">
        <f aca="false">IF(A11="","",F10)</f>
        <v>91893.8</v>
      </c>
      <c r="C11" s="15" t="n">
        <f aca="false">IF(A11="","",ROUND(B11*$I$11,2))</f>
        <v>91.89</v>
      </c>
      <c r="D11" s="15" t="n">
        <f aca="false">IF(A11="","",IF(A11=$I$12,B11,IF($I$8="Amortissement constant",$I$14,$I$13-C11)))</f>
        <v>1626.11</v>
      </c>
      <c r="E11" s="15" t="n">
        <f aca="false">IF(A11="","",C11+D11)</f>
        <v>1718</v>
      </c>
      <c r="F11" s="15" t="n">
        <f aca="false">IF(A11="","",ROUND(B11-D11,2))</f>
        <v>90267.69</v>
      </c>
      <c r="H11" s="5" t="s">
        <v>34</v>
      </c>
      <c r="I11" s="18" t="n">
        <f aca="false">IF(N(I7)=0,"",N(I5)/I7)</f>
        <v>0.001</v>
      </c>
    </row>
    <row r="12" customFormat="false" ht="15" hidden="false" customHeight="false" outlineLevel="0" collapsed="false">
      <c r="A12" s="14" t="n">
        <f aca="false">IF(7&gt;$I$12,"",7)</f>
        <v>7</v>
      </c>
      <c r="B12" s="15" t="n">
        <f aca="false">IF(A12="","",F11)</f>
        <v>90267.69</v>
      </c>
      <c r="C12" s="15" t="n">
        <f aca="false">IF(A12="","",ROUND(B12*$I$11,2))</f>
        <v>90.27</v>
      </c>
      <c r="D12" s="15" t="n">
        <f aca="false">IF(A12="","",IF(A12=$I$12,B12,IF($I$8="Amortissement constant",$I$14,$I$13-C12)))</f>
        <v>1627.73</v>
      </c>
      <c r="E12" s="15" t="n">
        <f aca="false">IF(A12="","",C12+D12)</f>
        <v>1718</v>
      </c>
      <c r="F12" s="15" t="n">
        <f aca="false">IF(A12="","",ROUND(B12-D12,2))</f>
        <v>88639.96</v>
      </c>
      <c r="H12" s="5" t="s">
        <v>35</v>
      </c>
      <c r="I12" s="19" t="n">
        <f aca="false">N(I6)*N(I7)</f>
        <v>60</v>
      </c>
    </row>
    <row r="13" customFormat="false" ht="15" hidden="false" customHeight="false" outlineLevel="0" collapsed="false">
      <c r="A13" s="14" t="n">
        <f aca="false">IF(8&gt;$I$12,"",8)</f>
        <v>8</v>
      </c>
      <c r="B13" s="15" t="n">
        <f aca="false">IF(A13="","",F12)</f>
        <v>88639.96</v>
      </c>
      <c r="C13" s="15" t="n">
        <f aca="false">IF(A13="","",ROUND(B13*$I$11,2))</f>
        <v>88.64</v>
      </c>
      <c r="D13" s="15" t="n">
        <f aca="false">IF(A13="","",IF(A13=$I$12,B13,IF($I$8="Amortissement constant",$I$14,$I$13-C13)))</f>
        <v>1629.36</v>
      </c>
      <c r="E13" s="15" t="n">
        <f aca="false">IF(A13="","",C13+D13)</f>
        <v>1718</v>
      </c>
      <c r="F13" s="15" t="n">
        <f aca="false">IF(A13="","",ROUND(B13-D13,2))</f>
        <v>87010.6</v>
      </c>
      <c r="H13" s="20" t="s">
        <v>36</v>
      </c>
      <c r="I13" s="21" t="n">
        <f aca="false">IF(OR(I8&lt;&gt;"Annuités constantes",N(I4)=0,I12=0,I11=""),"",IF(I11=0,ROUND(I4/I12,2),ROUND(I4*I11/(1-(1+I11)^(-I12)),IF(I9="à l’euro",0,2))))</f>
        <v>1718</v>
      </c>
    </row>
    <row r="14" customFormat="false" ht="15" hidden="false" customHeight="false" outlineLevel="0" collapsed="false">
      <c r="A14" s="14" t="n">
        <f aca="false">IF(9&gt;$I$12,"",9)</f>
        <v>9</v>
      </c>
      <c r="B14" s="15" t="n">
        <f aca="false">IF(A14="","",F13)</f>
        <v>87010.6</v>
      </c>
      <c r="C14" s="15" t="n">
        <f aca="false">IF(A14="","",ROUND(B14*$I$11,2))</f>
        <v>87.01</v>
      </c>
      <c r="D14" s="15" t="n">
        <f aca="false">IF(A14="","",IF(A14=$I$12,B14,IF($I$8="Amortissement constant",$I$14,$I$13-C14)))</f>
        <v>1630.99</v>
      </c>
      <c r="E14" s="15" t="n">
        <f aca="false">IF(A14="","",C14+D14)</f>
        <v>1718</v>
      </c>
      <c r="F14" s="15" t="n">
        <f aca="false">IF(A14="","",ROUND(B14-D14,2))</f>
        <v>85379.61</v>
      </c>
      <c r="H14" s="5" t="s">
        <v>37</v>
      </c>
      <c r="I14" s="22" t="str">
        <f aca="false">IF(AND(I8="Amortissement constant",I12&gt;0),ROUND(N(I4)/I12,2),"")</f>
        <v/>
      </c>
    </row>
    <row r="15" customFormat="false" ht="23.85" hidden="false" customHeight="false" outlineLevel="0" collapsed="false">
      <c r="A15" s="14" t="n">
        <f aca="false">IF(10&gt;$I$12,"",10)</f>
        <v>10</v>
      </c>
      <c r="B15" s="15" t="n">
        <f aca="false">IF(A15="","",F14)</f>
        <v>85379.61</v>
      </c>
      <c r="C15" s="15" t="n">
        <f aca="false">IF(A15="","",ROUND(B15*$I$11,2))</f>
        <v>85.38</v>
      </c>
      <c r="D15" s="15" t="n">
        <f aca="false">IF(A15="","",IF(A15=$I$12,B15,IF($I$8="Amortissement constant",$I$14,$I$13-C15)))</f>
        <v>1632.62</v>
      </c>
      <c r="E15" s="15" t="n">
        <f aca="false">IF(A15="","",C15+D15)</f>
        <v>1718</v>
      </c>
      <c r="F15" s="15" t="n">
        <f aca="false">IF(A15="","",ROUND(B15-D15,2))</f>
        <v>83746.99</v>
      </c>
      <c r="H15" s="20" t="s">
        <v>38</v>
      </c>
      <c r="I15" s="21" t="n">
        <f aca="false">SUM(C6:C365)</f>
        <v>3079.94</v>
      </c>
    </row>
    <row r="16" customFormat="false" ht="15" hidden="false" customHeight="false" outlineLevel="0" collapsed="false">
      <c r="A16" s="14" t="n">
        <f aca="false">IF(11&gt;$I$12,"",11)</f>
        <v>11</v>
      </c>
      <c r="B16" s="15" t="n">
        <f aca="false">IF(A16="","",F15)</f>
        <v>83746.99</v>
      </c>
      <c r="C16" s="15" t="n">
        <f aca="false">IF(A16="","",ROUND(B16*$I$11,2))</f>
        <v>83.75</v>
      </c>
      <c r="D16" s="15" t="n">
        <f aca="false">IF(A16="","",IF(A16=$I$12,B16,IF($I$8="Amortissement constant",$I$14,$I$13-C16)))</f>
        <v>1634.25</v>
      </c>
      <c r="E16" s="15" t="n">
        <f aca="false">IF(A16="","",C16+D16)</f>
        <v>1718</v>
      </c>
      <c r="F16" s="15" t="n">
        <f aca="false">IF(A16="","",ROUND(B16-D16,2))</f>
        <v>82112.74</v>
      </c>
      <c r="H16" s="5" t="s">
        <v>39</v>
      </c>
      <c r="I16" s="22" t="n">
        <f aca="false">SUM(E6:E365)</f>
        <v>103079.94</v>
      </c>
    </row>
    <row r="17" customFormat="false" ht="23.85" hidden="false" customHeight="false" outlineLevel="0" collapsed="false">
      <c r="A17" s="14" t="n">
        <f aca="false">IF(12&gt;$I$12,"",12)</f>
        <v>12</v>
      </c>
      <c r="B17" s="15" t="n">
        <f aca="false">IF(A17="","",F16)</f>
        <v>82112.74</v>
      </c>
      <c r="C17" s="15" t="n">
        <f aca="false">IF(A17="","",ROUND(B17*$I$11,2))</f>
        <v>82.11</v>
      </c>
      <c r="D17" s="15" t="n">
        <f aca="false">IF(A17="","",IF(A17=$I$12,B17,IF($I$8="Amortissement constant",$I$14,$I$13-C17)))</f>
        <v>1635.89</v>
      </c>
      <c r="E17" s="15" t="n">
        <f aca="false">IF(A17="","",C17+D17)</f>
        <v>1718</v>
      </c>
      <c r="F17" s="15" t="n">
        <f aca="false">IF(A17="","",ROUND(B17-D17,2))</f>
        <v>80476.85</v>
      </c>
      <c r="H17" s="5" t="s">
        <v>40</v>
      </c>
      <c r="I17" s="23" t="str">
        <f aca="false">IF(ROUND(SUM(D6:D365)-I4,2)=0,"OK","Écart")</f>
        <v>OK</v>
      </c>
    </row>
    <row r="18" customFormat="false" ht="15" hidden="false" customHeight="false" outlineLevel="0" collapsed="false">
      <c r="A18" s="14" t="n">
        <f aca="false">IF(13&gt;$I$12,"",13)</f>
        <v>13</v>
      </c>
      <c r="B18" s="15" t="n">
        <f aca="false">IF(A18="","",F17)</f>
        <v>80476.85</v>
      </c>
      <c r="C18" s="15" t="n">
        <f aca="false">IF(A18="","",ROUND(B18*$I$11,2))</f>
        <v>80.48</v>
      </c>
      <c r="D18" s="15" t="n">
        <f aca="false">IF(A18="","",IF(A18=$I$12,B18,IF($I$8="Amortissement constant",$I$14,$I$13-C18)))</f>
        <v>1637.52</v>
      </c>
      <c r="E18" s="15" t="n">
        <f aca="false">IF(A18="","",C18+D18)</f>
        <v>1718</v>
      </c>
      <c r="F18" s="15" t="n">
        <f aca="false">IF(A18="","",ROUND(B18-D18,2))</f>
        <v>78839.33</v>
      </c>
    </row>
    <row r="19" customFormat="false" ht="15" hidden="false" customHeight="false" outlineLevel="0" collapsed="false">
      <c r="A19" s="14" t="n">
        <f aca="false">IF(14&gt;$I$12,"",14)</f>
        <v>14</v>
      </c>
      <c r="B19" s="15" t="n">
        <f aca="false">IF(A19="","",F18)</f>
        <v>78839.33</v>
      </c>
      <c r="C19" s="15" t="n">
        <f aca="false">IF(A19="","",ROUND(B19*$I$11,2))</f>
        <v>78.84</v>
      </c>
      <c r="D19" s="15" t="n">
        <f aca="false">IF(A19="","",IF(A19=$I$12,B19,IF($I$8="Amortissement constant",$I$14,$I$13-C19)))</f>
        <v>1639.16</v>
      </c>
      <c r="E19" s="15" t="n">
        <f aca="false">IF(A19="","",C19+D19)</f>
        <v>1718</v>
      </c>
      <c r="F19" s="15" t="n">
        <f aca="false">IF(A19="","",ROUND(B19-D19,2))</f>
        <v>77200.17</v>
      </c>
    </row>
    <row r="20" customFormat="false" ht="15" hidden="false" customHeight="false" outlineLevel="0" collapsed="false">
      <c r="A20" s="14" t="n">
        <f aca="false">IF(15&gt;$I$12,"",15)</f>
        <v>15</v>
      </c>
      <c r="B20" s="15" t="n">
        <f aca="false">IF(A20="","",F19)</f>
        <v>77200.17</v>
      </c>
      <c r="C20" s="15" t="n">
        <f aca="false">IF(A20="","",ROUND(B20*$I$11,2))</f>
        <v>77.2</v>
      </c>
      <c r="D20" s="15" t="n">
        <f aca="false">IF(A20="","",IF(A20=$I$12,B20,IF($I$8="Amortissement constant",$I$14,$I$13-C20)))</f>
        <v>1640.8</v>
      </c>
      <c r="E20" s="15" t="n">
        <f aca="false">IF(A20="","",C20+D20)</f>
        <v>1718</v>
      </c>
      <c r="F20" s="15" t="n">
        <f aca="false">IF(A20="","",ROUND(B20-D20,2))</f>
        <v>75559.37</v>
      </c>
    </row>
    <row r="21" customFormat="false" ht="15" hidden="false" customHeight="false" outlineLevel="0" collapsed="false">
      <c r="A21" s="14" t="n">
        <f aca="false">IF(16&gt;$I$12,"",16)</f>
        <v>16</v>
      </c>
      <c r="B21" s="15" t="n">
        <f aca="false">IF(A21="","",F20)</f>
        <v>75559.37</v>
      </c>
      <c r="C21" s="15" t="n">
        <f aca="false">IF(A21="","",ROUND(B21*$I$11,2))</f>
        <v>75.56</v>
      </c>
      <c r="D21" s="15" t="n">
        <f aca="false">IF(A21="","",IF(A21=$I$12,B21,IF($I$8="Amortissement constant",$I$14,$I$13-C21)))</f>
        <v>1642.44</v>
      </c>
      <c r="E21" s="15" t="n">
        <f aca="false">IF(A21="","",C21+D21)</f>
        <v>1718</v>
      </c>
      <c r="F21" s="15" t="n">
        <f aca="false">IF(A21="","",ROUND(B21-D21,2))</f>
        <v>73916.93</v>
      </c>
    </row>
    <row r="22" customFormat="false" ht="15" hidden="false" customHeight="false" outlineLevel="0" collapsed="false">
      <c r="A22" s="14" t="n">
        <f aca="false">IF(17&gt;$I$12,"",17)</f>
        <v>17</v>
      </c>
      <c r="B22" s="15" t="n">
        <f aca="false">IF(A22="","",F21)</f>
        <v>73916.93</v>
      </c>
      <c r="C22" s="15" t="n">
        <f aca="false">IF(A22="","",ROUND(B22*$I$11,2))</f>
        <v>73.92</v>
      </c>
      <c r="D22" s="15" t="n">
        <f aca="false">IF(A22="","",IF(A22=$I$12,B22,IF($I$8="Amortissement constant",$I$14,$I$13-C22)))</f>
        <v>1644.08</v>
      </c>
      <c r="E22" s="15" t="n">
        <f aca="false">IF(A22="","",C22+D22)</f>
        <v>1718</v>
      </c>
      <c r="F22" s="15" t="n">
        <f aca="false">IF(A22="","",ROUND(B22-D22,2))</f>
        <v>72272.85</v>
      </c>
    </row>
    <row r="23" customFormat="false" ht="15" hidden="false" customHeight="false" outlineLevel="0" collapsed="false">
      <c r="A23" s="14" t="n">
        <f aca="false">IF(18&gt;$I$12,"",18)</f>
        <v>18</v>
      </c>
      <c r="B23" s="15" t="n">
        <f aca="false">IF(A23="","",F22)</f>
        <v>72272.85</v>
      </c>
      <c r="C23" s="15" t="n">
        <f aca="false">IF(A23="","",ROUND(B23*$I$11,2))</f>
        <v>72.27</v>
      </c>
      <c r="D23" s="15" t="n">
        <f aca="false">IF(A23="","",IF(A23=$I$12,B23,IF($I$8="Amortissement constant",$I$14,$I$13-C23)))</f>
        <v>1645.73</v>
      </c>
      <c r="E23" s="15" t="n">
        <f aca="false">IF(A23="","",C23+D23)</f>
        <v>1718</v>
      </c>
      <c r="F23" s="15" t="n">
        <f aca="false">IF(A23="","",ROUND(B23-D23,2))</f>
        <v>70627.12</v>
      </c>
    </row>
    <row r="24" customFormat="false" ht="15" hidden="false" customHeight="false" outlineLevel="0" collapsed="false">
      <c r="A24" s="14" t="n">
        <f aca="false">IF(19&gt;$I$12,"",19)</f>
        <v>19</v>
      </c>
      <c r="B24" s="15" t="n">
        <f aca="false">IF(A24="","",F23)</f>
        <v>70627.12</v>
      </c>
      <c r="C24" s="15" t="n">
        <f aca="false">IF(A24="","",ROUND(B24*$I$11,2))</f>
        <v>70.63</v>
      </c>
      <c r="D24" s="15" t="n">
        <f aca="false">IF(A24="","",IF(A24=$I$12,B24,IF($I$8="Amortissement constant",$I$14,$I$13-C24)))</f>
        <v>1647.37</v>
      </c>
      <c r="E24" s="15" t="n">
        <f aca="false">IF(A24="","",C24+D24)</f>
        <v>1718</v>
      </c>
      <c r="F24" s="15" t="n">
        <f aca="false">IF(A24="","",ROUND(B24-D24,2))</f>
        <v>68979.75</v>
      </c>
    </row>
    <row r="25" customFormat="false" ht="15" hidden="false" customHeight="false" outlineLevel="0" collapsed="false">
      <c r="A25" s="14" t="n">
        <f aca="false">IF(20&gt;$I$12,"",20)</f>
        <v>20</v>
      </c>
      <c r="B25" s="15" t="n">
        <f aca="false">IF(A25="","",F24)</f>
        <v>68979.75</v>
      </c>
      <c r="C25" s="15" t="n">
        <f aca="false">IF(A25="","",ROUND(B25*$I$11,2))</f>
        <v>68.98</v>
      </c>
      <c r="D25" s="15" t="n">
        <f aca="false">IF(A25="","",IF(A25=$I$12,B25,IF($I$8="Amortissement constant",$I$14,$I$13-C25)))</f>
        <v>1649.02</v>
      </c>
      <c r="E25" s="15" t="n">
        <f aca="false">IF(A25="","",C25+D25)</f>
        <v>1718</v>
      </c>
      <c r="F25" s="15" t="n">
        <f aca="false">IF(A25="","",ROUND(B25-D25,2))</f>
        <v>67330.73</v>
      </c>
    </row>
    <row r="26" customFormat="false" ht="15" hidden="false" customHeight="false" outlineLevel="0" collapsed="false">
      <c r="A26" s="14" t="n">
        <f aca="false">IF(21&gt;$I$12,"",21)</f>
        <v>21</v>
      </c>
      <c r="B26" s="15" t="n">
        <f aca="false">IF(A26="","",F25)</f>
        <v>67330.73</v>
      </c>
      <c r="C26" s="15" t="n">
        <f aca="false">IF(A26="","",ROUND(B26*$I$11,2))</f>
        <v>67.33</v>
      </c>
      <c r="D26" s="15" t="n">
        <f aca="false">IF(A26="","",IF(A26=$I$12,B26,IF($I$8="Amortissement constant",$I$14,$I$13-C26)))</f>
        <v>1650.67</v>
      </c>
      <c r="E26" s="15" t="n">
        <f aca="false">IF(A26="","",C26+D26)</f>
        <v>1718</v>
      </c>
      <c r="F26" s="15" t="n">
        <f aca="false">IF(A26="","",ROUND(B26-D26,2))</f>
        <v>65680.06</v>
      </c>
    </row>
    <row r="27" customFormat="false" ht="15" hidden="false" customHeight="false" outlineLevel="0" collapsed="false">
      <c r="A27" s="14" t="n">
        <f aca="false">IF(22&gt;$I$12,"",22)</f>
        <v>22</v>
      </c>
      <c r="B27" s="15" t="n">
        <f aca="false">IF(A27="","",F26)</f>
        <v>65680.06</v>
      </c>
      <c r="C27" s="15" t="n">
        <f aca="false">IF(A27="","",ROUND(B27*$I$11,2))</f>
        <v>65.68</v>
      </c>
      <c r="D27" s="15" t="n">
        <f aca="false">IF(A27="","",IF(A27=$I$12,B27,IF($I$8="Amortissement constant",$I$14,$I$13-C27)))</f>
        <v>1652.32</v>
      </c>
      <c r="E27" s="15" t="n">
        <f aca="false">IF(A27="","",C27+D27)</f>
        <v>1718</v>
      </c>
      <c r="F27" s="15" t="n">
        <f aca="false">IF(A27="","",ROUND(B27-D27,2))</f>
        <v>64027.74</v>
      </c>
    </row>
    <row r="28" customFormat="false" ht="15" hidden="false" customHeight="false" outlineLevel="0" collapsed="false">
      <c r="A28" s="14" t="n">
        <f aca="false">IF(23&gt;$I$12,"",23)</f>
        <v>23</v>
      </c>
      <c r="B28" s="15" t="n">
        <f aca="false">IF(A28="","",F27)</f>
        <v>64027.74</v>
      </c>
      <c r="C28" s="15" t="n">
        <f aca="false">IF(A28="","",ROUND(B28*$I$11,2))</f>
        <v>64.03</v>
      </c>
      <c r="D28" s="15" t="n">
        <f aca="false">IF(A28="","",IF(A28=$I$12,B28,IF($I$8="Amortissement constant",$I$14,$I$13-C28)))</f>
        <v>1653.97</v>
      </c>
      <c r="E28" s="15" t="n">
        <f aca="false">IF(A28="","",C28+D28)</f>
        <v>1718</v>
      </c>
      <c r="F28" s="15" t="n">
        <f aca="false">IF(A28="","",ROUND(B28-D28,2))</f>
        <v>62373.77</v>
      </c>
    </row>
    <row r="29" customFormat="false" ht="15" hidden="false" customHeight="false" outlineLevel="0" collapsed="false">
      <c r="A29" s="14" t="n">
        <f aca="false">IF(24&gt;$I$12,"",24)</f>
        <v>24</v>
      </c>
      <c r="B29" s="15" t="n">
        <f aca="false">IF(A29="","",F28)</f>
        <v>62373.77</v>
      </c>
      <c r="C29" s="15" t="n">
        <f aca="false">IF(A29="","",ROUND(B29*$I$11,2))</f>
        <v>62.37</v>
      </c>
      <c r="D29" s="15" t="n">
        <f aca="false">IF(A29="","",IF(A29=$I$12,B29,IF($I$8="Amortissement constant",$I$14,$I$13-C29)))</f>
        <v>1655.63</v>
      </c>
      <c r="E29" s="15" t="n">
        <f aca="false">IF(A29="","",C29+D29)</f>
        <v>1718</v>
      </c>
      <c r="F29" s="15" t="n">
        <f aca="false">IF(A29="","",ROUND(B29-D29,2))</f>
        <v>60718.14</v>
      </c>
    </row>
    <row r="30" customFormat="false" ht="15" hidden="false" customHeight="false" outlineLevel="0" collapsed="false">
      <c r="A30" s="14" t="n">
        <f aca="false">IF(25&gt;$I$12,"",25)</f>
        <v>25</v>
      </c>
      <c r="B30" s="15" t="n">
        <f aca="false">IF(A30="","",F29)</f>
        <v>60718.14</v>
      </c>
      <c r="C30" s="15" t="n">
        <f aca="false">IF(A30="","",ROUND(B30*$I$11,2))</f>
        <v>60.72</v>
      </c>
      <c r="D30" s="15" t="n">
        <f aca="false">IF(A30="","",IF(A30=$I$12,B30,IF($I$8="Amortissement constant",$I$14,$I$13-C30)))</f>
        <v>1657.28</v>
      </c>
      <c r="E30" s="15" t="n">
        <f aca="false">IF(A30="","",C30+D30)</f>
        <v>1718</v>
      </c>
      <c r="F30" s="15" t="n">
        <f aca="false">IF(A30="","",ROUND(B30-D30,2))</f>
        <v>59060.86</v>
      </c>
    </row>
    <row r="31" customFormat="false" ht="15" hidden="false" customHeight="false" outlineLevel="0" collapsed="false">
      <c r="A31" s="14" t="n">
        <f aca="false">IF(26&gt;$I$12,"",26)</f>
        <v>26</v>
      </c>
      <c r="B31" s="15" t="n">
        <f aca="false">IF(A31="","",F30)</f>
        <v>59060.86</v>
      </c>
      <c r="C31" s="15" t="n">
        <f aca="false">IF(A31="","",ROUND(B31*$I$11,2))</f>
        <v>59.06</v>
      </c>
      <c r="D31" s="15" t="n">
        <f aca="false">IF(A31="","",IF(A31=$I$12,B31,IF($I$8="Amortissement constant",$I$14,$I$13-C31)))</f>
        <v>1658.94</v>
      </c>
      <c r="E31" s="15" t="n">
        <f aca="false">IF(A31="","",C31+D31)</f>
        <v>1718</v>
      </c>
      <c r="F31" s="15" t="n">
        <f aca="false">IF(A31="","",ROUND(B31-D31,2))</f>
        <v>57401.92</v>
      </c>
    </row>
    <row r="32" customFormat="false" ht="15" hidden="false" customHeight="false" outlineLevel="0" collapsed="false">
      <c r="A32" s="14" t="n">
        <f aca="false">IF(27&gt;$I$12,"",27)</f>
        <v>27</v>
      </c>
      <c r="B32" s="15" t="n">
        <f aca="false">IF(A32="","",F31)</f>
        <v>57401.92</v>
      </c>
      <c r="C32" s="15" t="n">
        <f aca="false">IF(A32="","",ROUND(B32*$I$11,2))</f>
        <v>57.4</v>
      </c>
      <c r="D32" s="15" t="n">
        <f aca="false">IF(A32="","",IF(A32=$I$12,B32,IF($I$8="Amortissement constant",$I$14,$I$13-C32)))</f>
        <v>1660.6</v>
      </c>
      <c r="E32" s="15" t="n">
        <f aca="false">IF(A32="","",C32+D32)</f>
        <v>1718</v>
      </c>
      <c r="F32" s="15" t="n">
        <f aca="false">IF(A32="","",ROUND(B32-D32,2))</f>
        <v>55741.32</v>
      </c>
    </row>
    <row r="33" customFormat="false" ht="15" hidden="false" customHeight="false" outlineLevel="0" collapsed="false">
      <c r="A33" s="14" t="n">
        <f aca="false">IF(28&gt;$I$12,"",28)</f>
        <v>28</v>
      </c>
      <c r="B33" s="15" t="n">
        <f aca="false">IF(A33="","",F32)</f>
        <v>55741.32</v>
      </c>
      <c r="C33" s="15" t="n">
        <f aca="false">IF(A33="","",ROUND(B33*$I$11,2))</f>
        <v>55.74</v>
      </c>
      <c r="D33" s="15" t="n">
        <f aca="false">IF(A33="","",IF(A33=$I$12,B33,IF($I$8="Amortissement constant",$I$14,$I$13-C33)))</f>
        <v>1662.26</v>
      </c>
      <c r="E33" s="15" t="n">
        <f aca="false">IF(A33="","",C33+D33)</f>
        <v>1718</v>
      </c>
      <c r="F33" s="15" t="n">
        <f aca="false">IF(A33="","",ROUND(B33-D33,2))</f>
        <v>54079.06</v>
      </c>
    </row>
    <row r="34" customFormat="false" ht="15" hidden="false" customHeight="false" outlineLevel="0" collapsed="false">
      <c r="A34" s="14" t="n">
        <f aca="false">IF(29&gt;$I$12,"",29)</f>
        <v>29</v>
      </c>
      <c r="B34" s="15" t="n">
        <f aca="false">IF(A34="","",F33)</f>
        <v>54079.06</v>
      </c>
      <c r="C34" s="15" t="n">
        <f aca="false">IF(A34="","",ROUND(B34*$I$11,2))</f>
        <v>54.08</v>
      </c>
      <c r="D34" s="15" t="n">
        <f aca="false">IF(A34="","",IF(A34=$I$12,B34,IF($I$8="Amortissement constant",$I$14,$I$13-C34)))</f>
        <v>1663.92</v>
      </c>
      <c r="E34" s="15" t="n">
        <f aca="false">IF(A34="","",C34+D34)</f>
        <v>1718</v>
      </c>
      <c r="F34" s="15" t="n">
        <f aca="false">IF(A34="","",ROUND(B34-D34,2))</f>
        <v>52415.14</v>
      </c>
    </row>
    <row r="35" customFormat="false" ht="15" hidden="false" customHeight="false" outlineLevel="0" collapsed="false">
      <c r="A35" s="14" t="n">
        <f aca="false">IF(30&gt;$I$12,"",30)</f>
        <v>30</v>
      </c>
      <c r="B35" s="15" t="n">
        <f aca="false">IF(A35="","",F34)</f>
        <v>52415.14</v>
      </c>
      <c r="C35" s="15" t="n">
        <f aca="false">IF(A35="","",ROUND(B35*$I$11,2))</f>
        <v>52.42</v>
      </c>
      <c r="D35" s="15" t="n">
        <f aca="false">IF(A35="","",IF(A35=$I$12,B35,IF($I$8="Amortissement constant",$I$14,$I$13-C35)))</f>
        <v>1665.58</v>
      </c>
      <c r="E35" s="15" t="n">
        <f aca="false">IF(A35="","",C35+D35)</f>
        <v>1718</v>
      </c>
      <c r="F35" s="15" t="n">
        <f aca="false">IF(A35="","",ROUND(B35-D35,2))</f>
        <v>50749.56</v>
      </c>
    </row>
    <row r="36" customFormat="false" ht="15" hidden="false" customHeight="false" outlineLevel="0" collapsed="false">
      <c r="A36" s="14" t="n">
        <f aca="false">IF(31&gt;$I$12,"",31)</f>
        <v>31</v>
      </c>
      <c r="B36" s="15" t="n">
        <f aca="false">IF(A36="","",F35)</f>
        <v>50749.56</v>
      </c>
      <c r="C36" s="15" t="n">
        <f aca="false">IF(A36="","",ROUND(B36*$I$11,2))</f>
        <v>50.75</v>
      </c>
      <c r="D36" s="15" t="n">
        <f aca="false">IF(A36="","",IF(A36=$I$12,B36,IF($I$8="Amortissement constant",$I$14,$I$13-C36)))</f>
        <v>1667.25</v>
      </c>
      <c r="E36" s="15" t="n">
        <f aca="false">IF(A36="","",C36+D36)</f>
        <v>1718</v>
      </c>
      <c r="F36" s="15" t="n">
        <f aca="false">IF(A36="","",ROUND(B36-D36,2))</f>
        <v>49082.31</v>
      </c>
    </row>
    <row r="37" customFormat="false" ht="15" hidden="false" customHeight="false" outlineLevel="0" collapsed="false">
      <c r="A37" s="14" t="n">
        <f aca="false">IF(32&gt;$I$12,"",32)</f>
        <v>32</v>
      </c>
      <c r="B37" s="15" t="n">
        <f aca="false">IF(A37="","",F36)</f>
        <v>49082.31</v>
      </c>
      <c r="C37" s="15" t="n">
        <f aca="false">IF(A37="","",ROUND(B37*$I$11,2))</f>
        <v>49.08</v>
      </c>
      <c r="D37" s="15" t="n">
        <f aca="false">IF(A37="","",IF(A37=$I$12,B37,IF($I$8="Amortissement constant",$I$14,$I$13-C37)))</f>
        <v>1668.92</v>
      </c>
      <c r="E37" s="15" t="n">
        <f aca="false">IF(A37="","",C37+D37)</f>
        <v>1718</v>
      </c>
      <c r="F37" s="15" t="n">
        <f aca="false">IF(A37="","",ROUND(B37-D37,2))</f>
        <v>47413.39</v>
      </c>
    </row>
    <row r="38" customFormat="false" ht="15" hidden="false" customHeight="false" outlineLevel="0" collapsed="false">
      <c r="A38" s="14" t="n">
        <f aca="false">IF(33&gt;$I$12,"",33)</f>
        <v>33</v>
      </c>
      <c r="B38" s="15" t="n">
        <f aca="false">IF(A38="","",F37)</f>
        <v>47413.39</v>
      </c>
      <c r="C38" s="15" t="n">
        <f aca="false">IF(A38="","",ROUND(B38*$I$11,2))</f>
        <v>47.41</v>
      </c>
      <c r="D38" s="15" t="n">
        <f aca="false">IF(A38="","",IF(A38=$I$12,B38,IF($I$8="Amortissement constant",$I$14,$I$13-C38)))</f>
        <v>1670.59</v>
      </c>
      <c r="E38" s="15" t="n">
        <f aca="false">IF(A38="","",C38+D38)</f>
        <v>1718</v>
      </c>
      <c r="F38" s="15" t="n">
        <f aca="false">IF(A38="","",ROUND(B38-D38,2))</f>
        <v>45742.8</v>
      </c>
    </row>
    <row r="39" customFormat="false" ht="15" hidden="false" customHeight="false" outlineLevel="0" collapsed="false">
      <c r="A39" s="14" t="n">
        <f aca="false">IF(34&gt;$I$12,"",34)</f>
        <v>34</v>
      </c>
      <c r="B39" s="15" t="n">
        <f aca="false">IF(A39="","",F38)</f>
        <v>45742.8</v>
      </c>
      <c r="C39" s="15" t="n">
        <f aca="false">IF(A39="","",ROUND(B39*$I$11,2))</f>
        <v>45.74</v>
      </c>
      <c r="D39" s="15" t="n">
        <f aca="false">IF(A39="","",IF(A39=$I$12,B39,IF($I$8="Amortissement constant",$I$14,$I$13-C39)))</f>
        <v>1672.26</v>
      </c>
      <c r="E39" s="15" t="n">
        <f aca="false">IF(A39="","",C39+D39)</f>
        <v>1718</v>
      </c>
      <c r="F39" s="15" t="n">
        <f aca="false">IF(A39="","",ROUND(B39-D39,2))</f>
        <v>44070.54</v>
      </c>
    </row>
    <row r="40" customFormat="false" ht="15" hidden="false" customHeight="false" outlineLevel="0" collapsed="false">
      <c r="A40" s="14" t="n">
        <f aca="false">IF(35&gt;$I$12,"",35)</f>
        <v>35</v>
      </c>
      <c r="B40" s="15" t="n">
        <f aca="false">IF(A40="","",F39)</f>
        <v>44070.54</v>
      </c>
      <c r="C40" s="15" t="n">
        <f aca="false">IF(A40="","",ROUND(B40*$I$11,2))</f>
        <v>44.07</v>
      </c>
      <c r="D40" s="15" t="n">
        <f aca="false">IF(A40="","",IF(A40=$I$12,B40,IF($I$8="Amortissement constant",$I$14,$I$13-C40)))</f>
        <v>1673.93</v>
      </c>
      <c r="E40" s="15" t="n">
        <f aca="false">IF(A40="","",C40+D40)</f>
        <v>1718</v>
      </c>
      <c r="F40" s="15" t="n">
        <f aca="false">IF(A40="","",ROUND(B40-D40,2))</f>
        <v>42396.61</v>
      </c>
    </row>
    <row r="41" customFormat="false" ht="15" hidden="false" customHeight="false" outlineLevel="0" collapsed="false">
      <c r="A41" s="14" t="n">
        <f aca="false">IF(36&gt;$I$12,"",36)</f>
        <v>36</v>
      </c>
      <c r="B41" s="15" t="n">
        <f aca="false">IF(A41="","",F40)</f>
        <v>42396.61</v>
      </c>
      <c r="C41" s="15" t="n">
        <f aca="false">IF(A41="","",ROUND(B41*$I$11,2))</f>
        <v>42.4</v>
      </c>
      <c r="D41" s="15" t="n">
        <f aca="false">IF(A41="","",IF(A41=$I$12,B41,IF($I$8="Amortissement constant",$I$14,$I$13-C41)))</f>
        <v>1675.6</v>
      </c>
      <c r="E41" s="15" t="n">
        <f aca="false">IF(A41="","",C41+D41)</f>
        <v>1718</v>
      </c>
      <c r="F41" s="15" t="n">
        <f aca="false">IF(A41="","",ROUND(B41-D41,2))</f>
        <v>40721.01</v>
      </c>
    </row>
    <row r="42" customFormat="false" ht="15" hidden="false" customHeight="false" outlineLevel="0" collapsed="false">
      <c r="A42" s="14" t="n">
        <f aca="false">IF(37&gt;$I$12,"",37)</f>
        <v>37</v>
      </c>
      <c r="B42" s="15" t="n">
        <f aca="false">IF(A42="","",F41)</f>
        <v>40721.01</v>
      </c>
      <c r="C42" s="15" t="n">
        <f aca="false">IF(A42="","",ROUND(B42*$I$11,2))</f>
        <v>40.72</v>
      </c>
      <c r="D42" s="15" t="n">
        <f aca="false">IF(A42="","",IF(A42=$I$12,B42,IF($I$8="Amortissement constant",$I$14,$I$13-C42)))</f>
        <v>1677.28</v>
      </c>
      <c r="E42" s="15" t="n">
        <f aca="false">IF(A42="","",C42+D42)</f>
        <v>1718</v>
      </c>
      <c r="F42" s="15" t="n">
        <f aca="false">IF(A42="","",ROUND(B42-D42,2))</f>
        <v>39043.73</v>
      </c>
    </row>
    <row r="43" customFormat="false" ht="15" hidden="false" customHeight="false" outlineLevel="0" collapsed="false">
      <c r="A43" s="14" t="n">
        <f aca="false">IF(38&gt;$I$12,"",38)</f>
        <v>38</v>
      </c>
      <c r="B43" s="15" t="n">
        <f aca="false">IF(A43="","",F42)</f>
        <v>39043.73</v>
      </c>
      <c r="C43" s="15" t="n">
        <f aca="false">IF(A43="","",ROUND(B43*$I$11,2))</f>
        <v>39.04</v>
      </c>
      <c r="D43" s="15" t="n">
        <f aca="false">IF(A43="","",IF(A43=$I$12,B43,IF($I$8="Amortissement constant",$I$14,$I$13-C43)))</f>
        <v>1678.96</v>
      </c>
      <c r="E43" s="15" t="n">
        <f aca="false">IF(A43="","",C43+D43)</f>
        <v>1718</v>
      </c>
      <c r="F43" s="15" t="n">
        <f aca="false">IF(A43="","",ROUND(B43-D43,2))</f>
        <v>37364.77</v>
      </c>
    </row>
    <row r="44" customFormat="false" ht="15" hidden="false" customHeight="false" outlineLevel="0" collapsed="false">
      <c r="A44" s="14" t="n">
        <f aca="false">IF(39&gt;$I$12,"",39)</f>
        <v>39</v>
      </c>
      <c r="B44" s="15" t="n">
        <f aca="false">IF(A44="","",F43)</f>
        <v>37364.77</v>
      </c>
      <c r="C44" s="15" t="n">
        <f aca="false">IF(A44="","",ROUND(B44*$I$11,2))</f>
        <v>37.36</v>
      </c>
      <c r="D44" s="15" t="n">
        <f aca="false">IF(A44="","",IF(A44=$I$12,B44,IF($I$8="Amortissement constant",$I$14,$I$13-C44)))</f>
        <v>1680.64</v>
      </c>
      <c r="E44" s="15" t="n">
        <f aca="false">IF(A44="","",C44+D44)</f>
        <v>1718</v>
      </c>
      <c r="F44" s="15" t="n">
        <f aca="false">IF(A44="","",ROUND(B44-D44,2))</f>
        <v>35684.13</v>
      </c>
    </row>
    <row r="45" customFormat="false" ht="15" hidden="false" customHeight="false" outlineLevel="0" collapsed="false">
      <c r="A45" s="14" t="n">
        <f aca="false">IF(40&gt;$I$12,"",40)</f>
        <v>40</v>
      </c>
      <c r="B45" s="15" t="n">
        <f aca="false">IF(A45="","",F44)</f>
        <v>35684.13</v>
      </c>
      <c r="C45" s="15" t="n">
        <f aca="false">IF(A45="","",ROUND(B45*$I$11,2))</f>
        <v>35.68</v>
      </c>
      <c r="D45" s="15" t="n">
        <f aca="false">IF(A45="","",IF(A45=$I$12,B45,IF($I$8="Amortissement constant",$I$14,$I$13-C45)))</f>
        <v>1682.32</v>
      </c>
      <c r="E45" s="15" t="n">
        <f aca="false">IF(A45="","",C45+D45)</f>
        <v>1718</v>
      </c>
      <c r="F45" s="15" t="n">
        <f aca="false">IF(A45="","",ROUND(B45-D45,2))</f>
        <v>34001.81</v>
      </c>
    </row>
    <row r="46" customFormat="false" ht="15" hidden="false" customHeight="false" outlineLevel="0" collapsed="false">
      <c r="A46" s="14" t="n">
        <f aca="false">IF(41&gt;$I$12,"",41)</f>
        <v>41</v>
      </c>
      <c r="B46" s="15" t="n">
        <f aca="false">IF(A46="","",F45)</f>
        <v>34001.81</v>
      </c>
      <c r="C46" s="15" t="n">
        <f aca="false">IF(A46="","",ROUND(B46*$I$11,2))</f>
        <v>34</v>
      </c>
      <c r="D46" s="15" t="n">
        <f aca="false">IF(A46="","",IF(A46=$I$12,B46,IF($I$8="Amortissement constant",$I$14,$I$13-C46)))</f>
        <v>1684</v>
      </c>
      <c r="E46" s="15" t="n">
        <f aca="false">IF(A46="","",C46+D46)</f>
        <v>1718</v>
      </c>
      <c r="F46" s="15" t="n">
        <f aca="false">IF(A46="","",ROUND(B46-D46,2))</f>
        <v>32317.81</v>
      </c>
    </row>
    <row r="47" customFormat="false" ht="15" hidden="false" customHeight="false" outlineLevel="0" collapsed="false">
      <c r="A47" s="14" t="n">
        <f aca="false">IF(42&gt;$I$12,"",42)</f>
        <v>42</v>
      </c>
      <c r="B47" s="15" t="n">
        <f aca="false">IF(A47="","",F46)</f>
        <v>32317.81</v>
      </c>
      <c r="C47" s="15" t="n">
        <f aca="false">IF(A47="","",ROUND(B47*$I$11,2))</f>
        <v>32.32</v>
      </c>
      <c r="D47" s="15" t="n">
        <f aca="false">IF(A47="","",IF(A47=$I$12,B47,IF($I$8="Amortissement constant",$I$14,$I$13-C47)))</f>
        <v>1685.68</v>
      </c>
      <c r="E47" s="15" t="n">
        <f aca="false">IF(A47="","",C47+D47)</f>
        <v>1718</v>
      </c>
      <c r="F47" s="15" t="n">
        <f aca="false">IF(A47="","",ROUND(B47-D47,2))</f>
        <v>30632.13</v>
      </c>
    </row>
    <row r="48" customFormat="false" ht="15" hidden="false" customHeight="false" outlineLevel="0" collapsed="false">
      <c r="A48" s="14" t="n">
        <f aca="false">IF(43&gt;$I$12,"",43)</f>
        <v>43</v>
      </c>
      <c r="B48" s="15" t="n">
        <f aca="false">IF(A48="","",F47)</f>
        <v>30632.13</v>
      </c>
      <c r="C48" s="15" t="n">
        <f aca="false">IF(A48="","",ROUND(B48*$I$11,2))</f>
        <v>30.63</v>
      </c>
      <c r="D48" s="15" t="n">
        <f aca="false">IF(A48="","",IF(A48=$I$12,B48,IF($I$8="Amortissement constant",$I$14,$I$13-C48)))</f>
        <v>1687.37</v>
      </c>
      <c r="E48" s="15" t="n">
        <f aca="false">IF(A48="","",C48+D48)</f>
        <v>1718</v>
      </c>
      <c r="F48" s="15" t="n">
        <f aca="false">IF(A48="","",ROUND(B48-D48,2))</f>
        <v>28944.76</v>
      </c>
    </row>
    <row r="49" customFormat="false" ht="15" hidden="false" customHeight="false" outlineLevel="0" collapsed="false">
      <c r="A49" s="14" t="n">
        <f aca="false">IF(44&gt;$I$12,"",44)</f>
        <v>44</v>
      </c>
      <c r="B49" s="15" t="n">
        <f aca="false">IF(A49="","",F48)</f>
        <v>28944.76</v>
      </c>
      <c r="C49" s="15" t="n">
        <f aca="false">IF(A49="","",ROUND(B49*$I$11,2))</f>
        <v>28.94</v>
      </c>
      <c r="D49" s="15" t="n">
        <f aca="false">IF(A49="","",IF(A49=$I$12,B49,IF($I$8="Amortissement constant",$I$14,$I$13-C49)))</f>
        <v>1689.06</v>
      </c>
      <c r="E49" s="15" t="n">
        <f aca="false">IF(A49="","",C49+D49)</f>
        <v>1718</v>
      </c>
      <c r="F49" s="15" t="n">
        <f aca="false">IF(A49="","",ROUND(B49-D49,2))</f>
        <v>27255.7</v>
      </c>
    </row>
    <row r="50" customFormat="false" ht="15" hidden="false" customHeight="false" outlineLevel="0" collapsed="false">
      <c r="A50" s="14" t="n">
        <f aca="false">IF(45&gt;$I$12,"",45)</f>
        <v>45</v>
      </c>
      <c r="B50" s="15" t="n">
        <f aca="false">IF(A50="","",F49)</f>
        <v>27255.7</v>
      </c>
      <c r="C50" s="15" t="n">
        <f aca="false">IF(A50="","",ROUND(B50*$I$11,2))</f>
        <v>27.26</v>
      </c>
      <c r="D50" s="15" t="n">
        <f aca="false">IF(A50="","",IF(A50=$I$12,B50,IF($I$8="Amortissement constant",$I$14,$I$13-C50)))</f>
        <v>1690.74</v>
      </c>
      <c r="E50" s="15" t="n">
        <f aca="false">IF(A50="","",C50+D50)</f>
        <v>1718</v>
      </c>
      <c r="F50" s="15" t="n">
        <f aca="false">IF(A50="","",ROUND(B50-D50,2))</f>
        <v>25564.96</v>
      </c>
    </row>
    <row r="51" customFormat="false" ht="15" hidden="false" customHeight="false" outlineLevel="0" collapsed="false">
      <c r="A51" s="14" t="n">
        <f aca="false">IF(46&gt;$I$12,"",46)</f>
        <v>46</v>
      </c>
      <c r="B51" s="15" t="n">
        <f aca="false">IF(A51="","",F50)</f>
        <v>25564.96</v>
      </c>
      <c r="C51" s="15" t="n">
        <f aca="false">IF(A51="","",ROUND(B51*$I$11,2))</f>
        <v>25.56</v>
      </c>
      <c r="D51" s="15" t="n">
        <f aca="false">IF(A51="","",IF(A51=$I$12,B51,IF($I$8="Amortissement constant",$I$14,$I$13-C51)))</f>
        <v>1692.44</v>
      </c>
      <c r="E51" s="15" t="n">
        <f aca="false">IF(A51="","",C51+D51)</f>
        <v>1718</v>
      </c>
      <c r="F51" s="15" t="n">
        <f aca="false">IF(A51="","",ROUND(B51-D51,2))</f>
        <v>23872.52</v>
      </c>
    </row>
    <row r="52" customFormat="false" ht="15" hidden="false" customHeight="false" outlineLevel="0" collapsed="false">
      <c r="A52" s="14" t="n">
        <f aca="false">IF(47&gt;$I$12,"",47)</f>
        <v>47</v>
      </c>
      <c r="B52" s="15" t="n">
        <f aca="false">IF(A52="","",F51)</f>
        <v>23872.52</v>
      </c>
      <c r="C52" s="15" t="n">
        <f aca="false">IF(A52="","",ROUND(B52*$I$11,2))</f>
        <v>23.87</v>
      </c>
      <c r="D52" s="15" t="n">
        <f aca="false">IF(A52="","",IF(A52=$I$12,B52,IF($I$8="Amortissement constant",$I$14,$I$13-C52)))</f>
        <v>1694.13</v>
      </c>
      <c r="E52" s="15" t="n">
        <f aca="false">IF(A52="","",C52+D52)</f>
        <v>1718</v>
      </c>
      <c r="F52" s="15" t="n">
        <f aca="false">IF(A52="","",ROUND(B52-D52,2))</f>
        <v>22178.39</v>
      </c>
    </row>
    <row r="53" customFormat="false" ht="15" hidden="false" customHeight="false" outlineLevel="0" collapsed="false">
      <c r="A53" s="14" t="n">
        <f aca="false">IF(48&gt;$I$12,"",48)</f>
        <v>48</v>
      </c>
      <c r="B53" s="15" t="n">
        <f aca="false">IF(A53="","",F52)</f>
        <v>22178.39</v>
      </c>
      <c r="C53" s="15" t="n">
        <f aca="false">IF(A53="","",ROUND(B53*$I$11,2))</f>
        <v>22.18</v>
      </c>
      <c r="D53" s="15" t="n">
        <f aca="false">IF(A53="","",IF(A53=$I$12,B53,IF($I$8="Amortissement constant",$I$14,$I$13-C53)))</f>
        <v>1695.82</v>
      </c>
      <c r="E53" s="15" t="n">
        <f aca="false">IF(A53="","",C53+D53)</f>
        <v>1718</v>
      </c>
      <c r="F53" s="15" t="n">
        <f aca="false">IF(A53="","",ROUND(B53-D53,2))</f>
        <v>20482.57</v>
      </c>
    </row>
    <row r="54" customFormat="false" ht="15" hidden="false" customHeight="false" outlineLevel="0" collapsed="false">
      <c r="A54" s="14" t="n">
        <f aca="false">IF(49&gt;$I$12,"",49)</f>
        <v>49</v>
      </c>
      <c r="B54" s="15" t="n">
        <f aca="false">IF(A54="","",F53)</f>
        <v>20482.57</v>
      </c>
      <c r="C54" s="15" t="n">
        <f aca="false">IF(A54="","",ROUND(B54*$I$11,2))</f>
        <v>20.48</v>
      </c>
      <c r="D54" s="15" t="n">
        <f aca="false">IF(A54="","",IF(A54=$I$12,B54,IF($I$8="Amortissement constant",$I$14,$I$13-C54)))</f>
        <v>1697.52</v>
      </c>
      <c r="E54" s="15" t="n">
        <f aca="false">IF(A54="","",C54+D54)</f>
        <v>1718</v>
      </c>
      <c r="F54" s="15" t="n">
        <f aca="false">IF(A54="","",ROUND(B54-D54,2))</f>
        <v>18785.05</v>
      </c>
    </row>
    <row r="55" customFormat="false" ht="15" hidden="false" customHeight="false" outlineLevel="0" collapsed="false">
      <c r="A55" s="14" t="n">
        <f aca="false">IF(50&gt;$I$12,"",50)</f>
        <v>50</v>
      </c>
      <c r="B55" s="15" t="n">
        <f aca="false">IF(A55="","",F54)</f>
        <v>18785.05</v>
      </c>
      <c r="C55" s="15" t="n">
        <f aca="false">IF(A55="","",ROUND(B55*$I$11,2))</f>
        <v>18.79</v>
      </c>
      <c r="D55" s="15" t="n">
        <f aca="false">IF(A55="","",IF(A55=$I$12,B55,IF($I$8="Amortissement constant",$I$14,$I$13-C55)))</f>
        <v>1699.21</v>
      </c>
      <c r="E55" s="15" t="n">
        <f aca="false">IF(A55="","",C55+D55)</f>
        <v>1718</v>
      </c>
      <c r="F55" s="15" t="n">
        <f aca="false">IF(A55="","",ROUND(B55-D55,2))</f>
        <v>17085.84</v>
      </c>
    </row>
    <row r="56" customFormat="false" ht="15" hidden="false" customHeight="false" outlineLevel="0" collapsed="false">
      <c r="A56" s="14" t="n">
        <f aca="false">IF(51&gt;$I$12,"",51)</f>
        <v>51</v>
      </c>
      <c r="B56" s="15" t="n">
        <f aca="false">IF(A56="","",F55)</f>
        <v>17085.84</v>
      </c>
      <c r="C56" s="15" t="n">
        <f aca="false">IF(A56="","",ROUND(B56*$I$11,2))</f>
        <v>17.09</v>
      </c>
      <c r="D56" s="15" t="n">
        <f aca="false">IF(A56="","",IF(A56=$I$12,B56,IF($I$8="Amortissement constant",$I$14,$I$13-C56)))</f>
        <v>1700.91</v>
      </c>
      <c r="E56" s="15" t="n">
        <f aca="false">IF(A56="","",C56+D56)</f>
        <v>1718</v>
      </c>
      <c r="F56" s="15" t="n">
        <f aca="false">IF(A56="","",ROUND(B56-D56,2))</f>
        <v>15384.93</v>
      </c>
    </row>
    <row r="57" customFormat="false" ht="15" hidden="false" customHeight="false" outlineLevel="0" collapsed="false">
      <c r="A57" s="14" t="n">
        <f aca="false">IF(52&gt;$I$12,"",52)</f>
        <v>52</v>
      </c>
      <c r="B57" s="15" t="n">
        <f aca="false">IF(A57="","",F56)</f>
        <v>15384.93</v>
      </c>
      <c r="C57" s="15" t="n">
        <f aca="false">IF(A57="","",ROUND(B57*$I$11,2))</f>
        <v>15.38</v>
      </c>
      <c r="D57" s="15" t="n">
        <f aca="false">IF(A57="","",IF(A57=$I$12,B57,IF($I$8="Amortissement constant",$I$14,$I$13-C57)))</f>
        <v>1702.62</v>
      </c>
      <c r="E57" s="15" t="n">
        <f aca="false">IF(A57="","",C57+D57)</f>
        <v>1718</v>
      </c>
      <c r="F57" s="15" t="n">
        <f aca="false">IF(A57="","",ROUND(B57-D57,2))</f>
        <v>13682.31</v>
      </c>
    </row>
    <row r="58" customFormat="false" ht="15" hidden="false" customHeight="false" outlineLevel="0" collapsed="false">
      <c r="A58" s="14" t="n">
        <f aca="false">IF(53&gt;$I$12,"",53)</f>
        <v>53</v>
      </c>
      <c r="B58" s="15" t="n">
        <f aca="false">IF(A58="","",F57)</f>
        <v>13682.31</v>
      </c>
      <c r="C58" s="15" t="n">
        <f aca="false">IF(A58="","",ROUND(B58*$I$11,2))</f>
        <v>13.68</v>
      </c>
      <c r="D58" s="15" t="n">
        <f aca="false">IF(A58="","",IF(A58=$I$12,B58,IF($I$8="Amortissement constant",$I$14,$I$13-C58)))</f>
        <v>1704.32</v>
      </c>
      <c r="E58" s="15" t="n">
        <f aca="false">IF(A58="","",C58+D58)</f>
        <v>1718</v>
      </c>
      <c r="F58" s="15" t="n">
        <f aca="false">IF(A58="","",ROUND(B58-D58,2))</f>
        <v>11977.99</v>
      </c>
    </row>
    <row r="59" customFormat="false" ht="15" hidden="false" customHeight="false" outlineLevel="0" collapsed="false">
      <c r="A59" s="14" t="n">
        <f aca="false">IF(54&gt;$I$12,"",54)</f>
        <v>54</v>
      </c>
      <c r="B59" s="15" t="n">
        <f aca="false">IF(A59="","",F58)</f>
        <v>11977.99</v>
      </c>
      <c r="C59" s="15" t="n">
        <f aca="false">IF(A59="","",ROUND(B59*$I$11,2))</f>
        <v>11.98</v>
      </c>
      <c r="D59" s="15" t="n">
        <f aca="false">IF(A59="","",IF(A59=$I$12,B59,IF($I$8="Amortissement constant",$I$14,$I$13-C59)))</f>
        <v>1706.02</v>
      </c>
      <c r="E59" s="15" t="n">
        <f aca="false">IF(A59="","",C59+D59)</f>
        <v>1718</v>
      </c>
      <c r="F59" s="15" t="n">
        <f aca="false">IF(A59="","",ROUND(B59-D59,2))</f>
        <v>10271.97</v>
      </c>
    </row>
    <row r="60" customFormat="false" ht="15" hidden="false" customHeight="false" outlineLevel="0" collapsed="false">
      <c r="A60" s="14" t="n">
        <f aca="false">IF(55&gt;$I$12,"",55)</f>
        <v>55</v>
      </c>
      <c r="B60" s="15" t="n">
        <f aca="false">IF(A60="","",F59)</f>
        <v>10271.97</v>
      </c>
      <c r="C60" s="15" t="n">
        <f aca="false">IF(A60="","",ROUND(B60*$I$11,2))</f>
        <v>10.27</v>
      </c>
      <c r="D60" s="15" t="n">
        <f aca="false">IF(A60="","",IF(A60=$I$12,B60,IF($I$8="Amortissement constant",$I$14,$I$13-C60)))</f>
        <v>1707.73</v>
      </c>
      <c r="E60" s="15" t="n">
        <f aca="false">IF(A60="","",C60+D60)</f>
        <v>1718</v>
      </c>
      <c r="F60" s="15" t="n">
        <f aca="false">IF(A60="","",ROUND(B60-D60,2))</f>
        <v>8564.24</v>
      </c>
    </row>
    <row r="61" customFormat="false" ht="15" hidden="false" customHeight="false" outlineLevel="0" collapsed="false">
      <c r="A61" s="14" t="n">
        <f aca="false">IF(56&gt;$I$12,"",56)</f>
        <v>56</v>
      </c>
      <c r="B61" s="15" t="n">
        <f aca="false">IF(A61="","",F60)</f>
        <v>8564.24</v>
      </c>
      <c r="C61" s="15" t="n">
        <f aca="false">IF(A61="","",ROUND(B61*$I$11,2))</f>
        <v>8.56</v>
      </c>
      <c r="D61" s="15" t="n">
        <f aca="false">IF(A61="","",IF(A61=$I$12,B61,IF($I$8="Amortissement constant",$I$14,$I$13-C61)))</f>
        <v>1709.44</v>
      </c>
      <c r="E61" s="15" t="n">
        <f aca="false">IF(A61="","",C61+D61)</f>
        <v>1718</v>
      </c>
      <c r="F61" s="15" t="n">
        <f aca="false">IF(A61="","",ROUND(B61-D61,2))</f>
        <v>6854.8</v>
      </c>
    </row>
    <row r="62" customFormat="false" ht="15" hidden="false" customHeight="false" outlineLevel="0" collapsed="false">
      <c r="A62" s="14" t="n">
        <f aca="false">IF(57&gt;$I$12,"",57)</f>
        <v>57</v>
      </c>
      <c r="B62" s="15" t="n">
        <f aca="false">IF(A62="","",F61)</f>
        <v>6854.8</v>
      </c>
      <c r="C62" s="15" t="n">
        <f aca="false">IF(A62="","",ROUND(B62*$I$11,2))</f>
        <v>6.85</v>
      </c>
      <c r="D62" s="15" t="n">
        <f aca="false">IF(A62="","",IF(A62=$I$12,B62,IF($I$8="Amortissement constant",$I$14,$I$13-C62)))</f>
        <v>1711.15</v>
      </c>
      <c r="E62" s="15" t="n">
        <f aca="false">IF(A62="","",C62+D62)</f>
        <v>1718</v>
      </c>
      <c r="F62" s="15" t="n">
        <f aca="false">IF(A62="","",ROUND(B62-D62,2))</f>
        <v>5143.65</v>
      </c>
    </row>
    <row r="63" customFormat="false" ht="15" hidden="false" customHeight="false" outlineLevel="0" collapsed="false">
      <c r="A63" s="14" t="n">
        <f aca="false">IF(58&gt;$I$12,"",58)</f>
        <v>58</v>
      </c>
      <c r="B63" s="15" t="n">
        <f aca="false">IF(A63="","",F62)</f>
        <v>5143.65</v>
      </c>
      <c r="C63" s="15" t="n">
        <f aca="false">IF(A63="","",ROUND(B63*$I$11,2))</f>
        <v>5.14</v>
      </c>
      <c r="D63" s="15" t="n">
        <f aca="false">IF(A63="","",IF(A63=$I$12,B63,IF($I$8="Amortissement constant",$I$14,$I$13-C63)))</f>
        <v>1712.86</v>
      </c>
      <c r="E63" s="15" t="n">
        <f aca="false">IF(A63="","",C63+D63)</f>
        <v>1718</v>
      </c>
      <c r="F63" s="15" t="n">
        <f aca="false">IF(A63="","",ROUND(B63-D63,2))</f>
        <v>3430.79</v>
      </c>
    </row>
    <row r="64" customFormat="false" ht="15" hidden="false" customHeight="false" outlineLevel="0" collapsed="false">
      <c r="A64" s="14" t="n">
        <f aca="false">IF(59&gt;$I$12,"",59)</f>
        <v>59</v>
      </c>
      <c r="B64" s="15" t="n">
        <f aca="false">IF(A64="","",F63)</f>
        <v>3430.79</v>
      </c>
      <c r="C64" s="15" t="n">
        <f aca="false">IF(A64="","",ROUND(B64*$I$11,2))</f>
        <v>3.43</v>
      </c>
      <c r="D64" s="15" t="n">
        <f aca="false">IF(A64="","",IF(A64=$I$12,B64,IF($I$8="Amortissement constant",$I$14,$I$13-C64)))</f>
        <v>1714.57</v>
      </c>
      <c r="E64" s="15" t="n">
        <f aca="false">IF(A64="","",C64+D64)</f>
        <v>1718</v>
      </c>
      <c r="F64" s="15" t="n">
        <f aca="false">IF(A64="","",ROUND(B64-D64,2))</f>
        <v>1716.22</v>
      </c>
    </row>
    <row r="65" customFormat="false" ht="15" hidden="false" customHeight="false" outlineLevel="0" collapsed="false">
      <c r="A65" s="14" t="n">
        <f aca="false">IF(60&gt;$I$12,"",60)</f>
        <v>60</v>
      </c>
      <c r="B65" s="15" t="n">
        <f aca="false">IF(A65="","",F64)</f>
        <v>1716.22</v>
      </c>
      <c r="C65" s="15" t="n">
        <f aca="false">IF(A65="","",ROUND(B65*$I$11,2))</f>
        <v>1.72</v>
      </c>
      <c r="D65" s="15" t="n">
        <f aca="false">IF(A65="","",IF(A65=$I$12,B65,IF($I$8="Amortissement constant",$I$14,$I$13-C65)))</f>
        <v>1716.22</v>
      </c>
      <c r="E65" s="15" t="n">
        <f aca="false">IF(A65="","",C65+D65)</f>
        <v>1717.94</v>
      </c>
      <c r="F65" s="15" t="n">
        <f aca="false">IF(A65="","",ROUND(B65-D65,2))</f>
        <v>0</v>
      </c>
    </row>
    <row r="66" customFormat="false" ht="15" hidden="false" customHeight="false" outlineLevel="0" collapsed="false">
      <c r="A66" s="14" t="str">
        <f aca="false">IF(61&gt;$I$12,"",61)</f>
        <v/>
      </c>
      <c r="B66" s="15" t="str">
        <f aca="false">IF(A66="","",F65)</f>
        <v/>
      </c>
      <c r="C66" s="15" t="str">
        <f aca="false">IF(A66="","",ROUND(B66*$I$11,2))</f>
        <v/>
      </c>
      <c r="D66" s="15" t="str">
        <f aca="false">IF(A66="","",IF(A66=$I$12,B66,IF($I$8="Amortissement constant",$I$14,$I$13-C66)))</f>
        <v/>
      </c>
      <c r="E66" s="15" t="str">
        <f aca="false">IF(A66="","",C66+D66)</f>
        <v/>
      </c>
      <c r="F66" s="15" t="str">
        <f aca="false">IF(A66="","",ROUND(B66-D66,2))</f>
        <v/>
      </c>
    </row>
    <row r="67" customFormat="false" ht="15" hidden="false" customHeight="false" outlineLevel="0" collapsed="false">
      <c r="A67" s="14" t="str">
        <f aca="false">IF(62&gt;$I$12,"",62)</f>
        <v/>
      </c>
      <c r="B67" s="15" t="str">
        <f aca="false">IF(A67="","",F66)</f>
        <v/>
      </c>
      <c r="C67" s="15" t="str">
        <f aca="false">IF(A67="","",ROUND(B67*$I$11,2))</f>
        <v/>
      </c>
      <c r="D67" s="15" t="str">
        <f aca="false">IF(A67="","",IF(A67=$I$12,B67,IF($I$8="Amortissement constant",$I$14,$I$13-C67)))</f>
        <v/>
      </c>
      <c r="E67" s="15" t="str">
        <f aca="false">IF(A67="","",C67+D67)</f>
        <v/>
      </c>
      <c r="F67" s="15" t="str">
        <f aca="false">IF(A67="","",ROUND(B67-D67,2))</f>
        <v/>
      </c>
    </row>
    <row r="68" customFormat="false" ht="15" hidden="false" customHeight="false" outlineLevel="0" collapsed="false">
      <c r="A68" s="14" t="str">
        <f aca="false">IF(63&gt;$I$12,"",63)</f>
        <v/>
      </c>
      <c r="B68" s="15" t="str">
        <f aca="false">IF(A68="","",F67)</f>
        <v/>
      </c>
      <c r="C68" s="15" t="str">
        <f aca="false">IF(A68="","",ROUND(B68*$I$11,2))</f>
        <v/>
      </c>
      <c r="D68" s="15" t="str">
        <f aca="false">IF(A68="","",IF(A68=$I$12,B68,IF($I$8="Amortissement constant",$I$14,$I$13-C68)))</f>
        <v/>
      </c>
      <c r="E68" s="15" t="str">
        <f aca="false">IF(A68="","",C68+D68)</f>
        <v/>
      </c>
      <c r="F68" s="15" t="str">
        <f aca="false">IF(A68="","",ROUND(B68-D68,2))</f>
        <v/>
      </c>
    </row>
    <row r="69" customFormat="false" ht="15" hidden="false" customHeight="false" outlineLevel="0" collapsed="false">
      <c r="A69" s="14" t="str">
        <f aca="false">IF(64&gt;$I$12,"",64)</f>
        <v/>
      </c>
      <c r="B69" s="15" t="str">
        <f aca="false">IF(A69="","",F68)</f>
        <v/>
      </c>
      <c r="C69" s="15" t="str">
        <f aca="false">IF(A69="","",ROUND(B69*$I$11,2))</f>
        <v/>
      </c>
      <c r="D69" s="15" t="str">
        <f aca="false">IF(A69="","",IF(A69=$I$12,B69,IF($I$8="Amortissement constant",$I$14,$I$13-C69)))</f>
        <v/>
      </c>
      <c r="E69" s="15" t="str">
        <f aca="false">IF(A69="","",C69+D69)</f>
        <v/>
      </c>
      <c r="F69" s="15" t="str">
        <f aca="false">IF(A69="","",ROUND(B69-D69,2))</f>
        <v/>
      </c>
    </row>
    <row r="70" customFormat="false" ht="15" hidden="false" customHeight="false" outlineLevel="0" collapsed="false">
      <c r="A70" s="14" t="str">
        <f aca="false">IF(65&gt;$I$12,"",65)</f>
        <v/>
      </c>
      <c r="B70" s="15" t="str">
        <f aca="false">IF(A70="","",F69)</f>
        <v/>
      </c>
      <c r="C70" s="15" t="str">
        <f aca="false">IF(A70="","",ROUND(B70*$I$11,2))</f>
        <v/>
      </c>
      <c r="D70" s="15" t="str">
        <f aca="false">IF(A70="","",IF(A70=$I$12,B70,IF($I$8="Amortissement constant",$I$14,$I$13-C70)))</f>
        <v/>
      </c>
      <c r="E70" s="15" t="str">
        <f aca="false">IF(A70="","",C70+D70)</f>
        <v/>
      </c>
      <c r="F70" s="15" t="str">
        <f aca="false">IF(A70="","",ROUND(B70-D70,2))</f>
        <v/>
      </c>
    </row>
    <row r="71" customFormat="false" ht="15" hidden="false" customHeight="false" outlineLevel="0" collapsed="false">
      <c r="A71" s="14" t="str">
        <f aca="false">IF(66&gt;$I$12,"",66)</f>
        <v/>
      </c>
      <c r="B71" s="15" t="str">
        <f aca="false">IF(A71="","",F70)</f>
        <v/>
      </c>
      <c r="C71" s="15" t="str">
        <f aca="false">IF(A71="","",ROUND(B71*$I$11,2))</f>
        <v/>
      </c>
      <c r="D71" s="15" t="str">
        <f aca="false">IF(A71="","",IF(A71=$I$12,B71,IF($I$8="Amortissement constant",$I$14,$I$13-C71)))</f>
        <v/>
      </c>
      <c r="E71" s="15" t="str">
        <f aca="false">IF(A71="","",C71+D71)</f>
        <v/>
      </c>
      <c r="F71" s="15" t="str">
        <f aca="false">IF(A71="","",ROUND(B71-D71,2))</f>
        <v/>
      </c>
    </row>
    <row r="72" customFormat="false" ht="15" hidden="false" customHeight="false" outlineLevel="0" collapsed="false">
      <c r="A72" s="14" t="str">
        <f aca="false">IF(67&gt;$I$12,"",67)</f>
        <v/>
      </c>
      <c r="B72" s="15" t="str">
        <f aca="false">IF(A72="","",F71)</f>
        <v/>
      </c>
      <c r="C72" s="15" t="str">
        <f aca="false">IF(A72="","",ROUND(B72*$I$11,2))</f>
        <v/>
      </c>
      <c r="D72" s="15" t="str">
        <f aca="false">IF(A72="","",IF(A72=$I$12,B72,IF($I$8="Amortissement constant",$I$14,$I$13-C72)))</f>
        <v/>
      </c>
      <c r="E72" s="15" t="str">
        <f aca="false">IF(A72="","",C72+D72)</f>
        <v/>
      </c>
      <c r="F72" s="15" t="str">
        <f aca="false">IF(A72="","",ROUND(B72-D72,2))</f>
        <v/>
      </c>
    </row>
    <row r="73" customFormat="false" ht="15" hidden="false" customHeight="false" outlineLevel="0" collapsed="false">
      <c r="A73" s="14" t="str">
        <f aca="false">IF(68&gt;$I$12,"",68)</f>
        <v/>
      </c>
      <c r="B73" s="15" t="str">
        <f aca="false">IF(A73="","",F72)</f>
        <v/>
      </c>
      <c r="C73" s="15" t="str">
        <f aca="false">IF(A73="","",ROUND(B73*$I$11,2))</f>
        <v/>
      </c>
      <c r="D73" s="15" t="str">
        <f aca="false">IF(A73="","",IF(A73=$I$12,B73,IF($I$8="Amortissement constant",$I$14,$I$13-C73)))</f>
        <v/>
      </c>
      <c r="E73" s="15" t="str">
        <f aca="false">IF(A73="","",C73+D73)</f>
        <v/>
      </c>
      <c r="F73" s="15" t="str">
        <f aca="false">IF(A73="","",ROUND(B73-D73,2))</f>
        <v/>
      </c>
    </row>
    <row r="74" customFormat="false" ht="15" hidden="false" customHeight="false" outlineLevel="0" collapsed="false">
      <c r="A74" s="14" t="str">
        <f aca="false">IF(69&gt;$I$12,"",69)</f>
        <v/>
      </c>
      <c r="B74" s="15" t="str">
        <f aca="false">IF(A74="","",F73)</f>
        <v/>
      </c>
      <c r="C74" s="15" t="str">
        <f aca="false">IF(A74="","",ROUND(B74*$I$11,2))</f>
        <v/>
      </c>
      <c r="D74" s="15" t="str">
        <f aca="false">IF(A74="","",IF(A74=$I$12,B74,IF($I$8="Amortissement constant",$I$14,$I$13-C74)))</f>
        <v/>
      </c>
      <c r="E74" s="15" t="str">
        <f aca="false">IF(A74="","",C74+D74)</f>
        <v/>
      </c>
      <c r="F74" s="15" t="str">
        <f aca="false">IF(A74="","",ROUND(B74-D74,2))</f>
        <v/>
      </c>
    </row>
    <row r="75" customFormat="false" ht="15" hidden="false" customHeight="false" outlineLevel="0" collapsed="false">
      <c r="A75" s="14" t="str">
        <f aca="false">IF(70&gt;$I$12,"",70)</f>
        <v/>
      </c>
      <c r="B75" s="15" t="str">
        <f aca="false">IF(A75="","",F74)</f>
        <v/>
      </c>
      <c r="C75" s="15" t="str">
        <f aca="false">IF(A75="","",ROUND(B75*$I$11,2))</f>
        <v/>
      </c>
      <c r="D75" s="15" t="str">
        <f aca="false">IF(A75="","",IF(A75=$I$12,B75,IF($I$8="Amortissement constant",$I$14,$I$13-C75)))</f>
        <v/>
      </c>
      <c r="E75" s="15" t="str">
        <f aca="false">IF(A75="","",C75+D75)</f>
        <v/>
      </c>
      <c r="F75" s="15" t="str">
        <f aca="false">IF(A75="","",ROUND(B75-D75,2))</f>
        <v/>
      </c>
    </row>
    <row r="76" customFormat="false" ht="15" hidden="false" customHeight="false" outlineLevel="0" collapsed="false">
      <c r="A76" s="14" t="str">
        <f aca="false">IF(71&gt;$I$12,"",71)</f>
        <v/>
      </c>
      <c r="B76" s="15" t="str">
        <f aca="false">IF(A76="","",F75)</f>
        <v/>
      </c>
      <c r="C76" s="15" t="str">
        <f aca="false">IF(A76="","",ROUND(B76*$I$11,2))</f>
        <v/>
      </c>
      <c r="D76" s="15" t="str">
        <f aca="false">IF(A76="","",IF(A76=$I$12,B76,IF($I$8="Amortissement constant",$I$14,$I$13-C76)))</f>
        <v/>
      </c>
      <c r="E76" s="15" t="str">
        <f aca="false">IF(A76="","",C76+D76)</f>
        <v/>
      </c>
      <c r="F76" s="15" t="str">
        <f aca="false">IF(A76="","",ROUND(B76-D76,2))</f>
        <v/>
      </c>
    </row>
    <row r="77" customFormat="false" ht="15" hidden="false" customHeight="false" outlineLevel="0" collapsed="false">
      <c r="A77" s="14" t="str">
        <f aca="false">IF(72&gt;$I$12,"",72)</f>
        <v/>
      </c>
      <c r="B77" s="15" t="str">
        <f aca="false">IF(A77="","",F76)</f>
        <v/>
      </c>
      <c r="C77" s="15" t="str">
        <f aca="false">IF(A77="","",ROUND(B77*$I$11,2))</f>
        <v/>
      </c>
      <c r="D77" s="15" t="str">
        <f aca="false">IF(A77="","",IF(A77=$I$12,B77,IF($I$8="Amortissement constant",$I$14,$I$13-C77)))</f>
        <v/>
      </c>
      <c r="E77" s="15" t="str">
        <f aca="false">IF(A77="","",C77+D77)</f>
        <v/>
      </c>
      <c r="F77" s="15" t="str">
        <f aca="false">IF(A77="","",ROUND(B77-D77,2))</f>
        <v/>
      </c>
    </row>
    <row r="78" customFormat="false" ht="15" hidden="false" customHeight="false" outlineLevel="0" collapsed="false">
      <c r="A78" s="14" t="str">
        <f aca="false">IF(73&gt;$I$12,"",73)</f>
        <v/>
      </c>
      <c r="B78" s="15" t="str">
        <f aca="false">IF(A78="","",F77)</f>
        <v/>
      </c>
      <c r="C78" s="15" t="str">
        <f aca="false">IF(A78="","",ROUND(B78*$I$11,2))</f>
        <v/>
      </c>
      <c r="D78" s="15" t="str">
        <f aca="false">IF(A78="","",IF(A78=$I$12,B78,IF($I$8="Amortissement constant",$I$14,$I$13-C78)))</f>
        <v/>
      </c>
      <c r="E78" s="15" t="str">
        <f aca="false">IF(A78="","",C78+D78)</f>
        <v/>
      </c>
      <c r="F78" s="15" t="str">
        <f aca="false">IF(A78="","",ROUND(B78-D78,2))</f>
        <v/>
      </c>
    </row>
    <row r="79" customFormat="false" ht="15" hidden="false" customHeight="false" outlineLevel="0" collapsed="false">
      <c r="A79" s="14" t="str">
        <f aca="false">IF(74&gt;$I$12,"",74)</f>
        <v/>
      </c>
      <c r="B79" s="15" t="str">
        <f aca="false">IF(A79="","",F78)</f>
        <v/>
      </c>
      <c r="C79" s="15" t="str">
        <f aca="false">IF(A79="","",ROUND(B79*$I$11,2))</f>
        <v/>
      </c>
      <c r="D79" s="15" t="str">
        <f aca="false">IF(A79="","",IF(A79=$I$12,B79,IF($I$8="Amortissement constant",$I$14,$I$13-C79)))</f>
        <v/>
      </c>
      <c r="E79" s="15" t="str">
        <f aca="false">IF(A79="","",C79+D79)</f>
        <v/>
      </c>
      <c r="F79" s="15" t="str">
        <f aca="false">IF(A79="","",ROUND(B79-D79,2))</f>
        <v/>
      </c>
    </row>
    <row r="80" customFormat="false" ht="15" hidden="false" customHeight="false" outlineLevel="0" collapsed="false">
      <c r="A80" s="14" t="str">
        <f aca="false">IF(75&gt;$I$12,"",75)</f>
        <v/>
      </c>
      <c r="B80" s="15" t="str">
        <f aca="false">IF(A80="","",F79)</f>
        <v/>
      </c>
      <c r="C80" s="15" t="str">
        <f aca="false">IF(A80="","",ROUND(B80*$I$11,2))</f>
        <v/>
      </c>
      <c r="D80" s="15" t="str">
        <f aca="false">IF(A80="","",IF(A80=$I$12,B80,IF($I$8="Amortissement constant",$I$14,$I$13-C80)))</f>
        <v/>
      </c>
      <c r="E80" s="15" t="str">
        <f aca="false">IF(A80="","",C80+D80)</f>
        <v/>
      </c>
      <c r="F80" s="15" t="str">
        <f aca="false">IF(A80="","",ROUND(B80-D80,2))</f>
        <v/>
      </c>
    </row>
    <row r="81" customFormat="false" ht="15" hidden="false" customHeight="false" outlineLevel="0" collapsed="false">
      <c r="A81" s="14" t="str">
        <f aca="false">IF(76&gt;$I$12,"",76)</f>
        <v/>
      </c>
      <c r="B81" s="15" t="str">
        <f aca="false">IF(A81="","",F80)</f>
        <v/>
      </c>
      <c r="C81" s="15" t="str">
        <f aca="false">IF(A81="","",ROUND(B81*$I$11,2))</f>
        <v/>
      </c>
      <c r="D81" s="15" t="str">
        <f aca="false">IF(A81="","",IF(A81=$I$12,B81,IF($I$8="Amortissement constant",$I$14,$I$13-C81)))</f>
        <v/>
      </c>
      <c r="E81" s="15" t="str">
        <f aca="false">IF(A81="","",C81+D81)</f>
        <v/>
      </c>
      <c r="F81" s="15" t="str">
        <f aca="false">IF(A81="","",ROUND(B81-D81,2))</f>
        <v/>
      </c>
    </row>
    <row r="82" customFormat="false" ht="15" hidden="false" customHeight="false" outlineLevel="0" collapsed="false">
      <c r="A82" s="14" t="str">
        <f aca="false">IF(77&gt;$I$12,"",77)</f>
        <v/>
      </c>
      <c r="B82" s="15" t="str">
        <f aca="false">IF(A82="","",F81)</f>
        <v/>
      </c>
      <c r="C82" s="15" t="str">
        <f aca="false">IF(A82="","",ROUND(B82*$I$11,2))</f>
        <v/>
      </c>
      <c r="D82" s="15" t="str">
        <f aca="false">IF(A82="","",IF(A82=$I$12,B82,IF($I$8="Amortissement constant",$I$14,$I$13-C82)))</f>
        <v/>
      </c>
      <c r="E82" s="15" t="str">
        <f aca="false">IF(A82="","",C82+D82)</f>
        <v/>
      </c>
      <c r="F82" s="15" t="str">
        <f aca="false">IF(A82="","",ROUND(B82-D82,2))</f>
        <v/>
      </c>
    </row>
    <row r="83" customFormat="false" ht="15" hidden="false" customHeight="false" outlineLevel="0" collapsed="false">
      <c r="A83" s="14" t="str">
        <f aca="false">IF(78&gt;$I$12,"",78)</f>
        <v/>
      </c>
      <c r="B83" s="15" t="str">
        <f aca="false">IF(A83="","",F82)</f>
        <v/>
      </c>
      <c r="C83" s="15" t="str">
        <f aca="false">IF(A83="","",ROUND(B83*$I$11,2))</f>
        <v/>
      </c>
      <c r="D83" s="15" t="str">
        <f aca="false">IF(A83="","",IF(A83=$I$12,B83,IF($I$8="Amortissement constant",$I$14,$I$13-C83)))</f>
        <v/>
      </c>
      <c r="E83" s="15" t="str">
        <f aca="false">IF(A83="","",C83+D83)</f>
        <v/>
      </c>
      <c r="F83" s="15" t="str">
        <f aca="false">IF(A83="","",ROUND(B83-D83,2))</f>
        <v/>
      </c>
    </row>
    <row r="84" customFormat="false" ht="15" hidden="false" customHeight="false" outlineLevel="0" collapsed="false">
      <c r="A84" s="14" t="str">
        <f aca="false">IF(79&gt;$I$12,"",79)</f>
        <v/>
      </c>
      <c r="B84" s="15" t="str">
        <f aca="false">IF(A84="","",F83)</f>
        <v/>
      </c>
      <c r="C84" s="15" t="str">
        <f aca="false">IF(A84="","",ROUND(B84*$I$11,2))</f>
        <v/>
      </c>
      <c r="D84" s="15" t="str">
        <f aca="false">IF(A84="","",IF(A84=$I$12,B84,IF($I$8="Amortissement constant",$I$14,$I$13-C84)))</f>
        <v/>
      </c>
      <c r="E84" s="15" t="str">
        <f aca="false">IF(A84="","",C84+D84)</f>
        <v/>
      </c>
      <c r="F84" s="15" t="str">
        <f aca="false">IF(A84="","",ROUND(B84-D84,2))</f>
        <v/>
      </c>
    </row>
    <row r="85" customFormat="false" ht="15" hidden="false" customHeight="false" outlineLevel="0" collapsed="false">
      <c r="A85" s="14" t="str">
        <f aca="false">IF(80&gt;$I$12,"",80)</f>
        <v/>
      </c>
      <c r="B85" s="15" t="str">
        <f aca="false">IF(A85="","",F84)</f>
        <v/>
      </c>
      <c r="C85" s="15" t="str">
        <f aca="false">IF(A85="","",ROUND(B85*$I$11,2))</f>
        <v/>
      </c>
      <c r="D85" s="15" t="str">
        <f aca="false">IF(A85="","",IF(A85=$I$12,B85,IF($I$8="Amortissement constant",$I$14,$I$13-C85)))</f>
        <v/>
      </c>
      <c r="E85" s="15" t="str">
        <f aca="false">IF(A85="","",C85+D85)</f>
        <v/>
      </c>
      <c r="F85" s="15" t="str">
        <f aca="false">IF(A85="","",ROUND(B85-D85,2))</f>
        <v/>
      </c>
    </row>
    <row r="86" customFormat="false" ht="15" hidden="false" customHeight="false" outlineLevel="0" collapsed="false">
      <c r="A86" s="14" t="str">
        <f aca="false">IF(81&gt;$I$12,"",81)</f>
        <v/>
      </c>
      <c r="B86" s="15" t="str">
        <f aca="false">IF(A86="","",F85)</f>
        <v/>
      </c>
      <c r="C86" s="15" t="str">
        <f aca="false">IF(A86="","",ROUND(B86*$I$11,2))</f>
        <v/>
      </c>
      <c r="D86" s="15" t="str">
        <f aca="false">IF(A86="","",IF(A86=$I$12,B86,IF($I$8="Amortissement constant",$I$14,$I$13-C86)))</f>
        <v/>
      </c>
      <c r="E86" s="15" t="str">
        <f aca="false">IF(A86="","",C86+D86)</f>
        <v/>
      </c>
      <c r="F86" s="15" t="str">
        <f aca="false">IF(A86="","",ROUND(B86-D86,2))</f>
        <v/>
      </c>
    </row>
    <row r="87" customFormat="false" ht="15" hidden="false" customHeight="false" outlineLevel="0" collapsed="false">
      <c r="A87" s="14" t="str">
        <f aca="false">IF(82&gt;$I$12,"",82)</f>
        <v/>
      </c>
      <c r="B87" s="15" t="str">
        <f aca="false">IF(A87="","",F86)</f>
        <v/>
      </c>
      <c r="C87" s="15" t="str">
        <f aca="false">IF(A87="","",ROUND(B87*$I$11,2))</f>
        <v/>
      </c>
      <c r="D87" s="15" t="str">
        <f aca="false">IF(A87="","",IF(A87=$I$12,B87,IF($I$8="Amortissement constant",$I$14,$I$13-C87)))</f>
        <v/>
      </c>
      <c r="E87" s="15" t="str">
        <f aca="false">IF(A87="","",C87+D87)</f>
        <v/>
      </c>
      <c r="F87" s="15" t="str">
        <f aca="false">IF(A87="","",ROUND(B87-D87,2))</f>
        <v/>
      </c>
    </row>
    <row r="88" customFormat="false" ht="15" hidden="false" customHeight="false" outlineLevel="0" collapsed="false">
      <c r="A88" s="14" t="str">
        <f aca="false">IF(83&gt;$I$12,"",83)</f>
        <v/>
      </c>
      <c r="B88" s="15" t="str">
        <f aca="false">IF(A88="","",F87)</f>
        <v/>
      </c>
      <c r="C88" s="15" t="str">
        <f aca="false">IF(A88="","",ROUND(B88*$I$11,2))</f>
        <v/>
      </c>
      <c r="D88" s="15" t="str">
        <f aca="false">IF(A88="","",IF(A88=$I$12,B88,IF($I$8="Amortissement constant",$I$14,$I$13-C88)))</f>
        <v/>
      </c>
      <c r="E88" s="15" t="str">
        <f aca="false">IF(A88="","",C88+D88)</f>
        <v/>
      </c>
      <c r="F88" s="15" t="str">
        <f aca="false">IF(A88="","",ROUND(B88-D88,2))</f>
        <v/>
      </c>
    </row>
    <row r="89" customFormat="false" ht="15" hidden="false" customHeight="false" outlineLevel="0" collapsed="false">
      <c r="A89" s="14" t="str">
        <f aca="false">IF(84&gt;$I$12,"",84)</f>
        <v/>
      </c>
      <c r="B89" s="15" t="str">
        <f aca="false">IF(A89="","",F88)</f>
        <v/>
      </c>
      <c r="C89" s="15" t="str">
        <f aca="false">IF(A89="","",ROUND(B89*$I$11,2))</f>
        <v/>
      </c>
      <c r="D89" s="15" t="str">
        <f aca="false">IF(A89="","",IF(A89=$I$12,B89,IF($I$8="Amortissement constant",$I$14,$I$13-C89)))</f>
        <v/>
      </c>
      <c r="E89" s="15" t="str">
        <f aca="false">IF(A89="","",C89+D89)</f>
        <v/>
      </c>
      <c r="F89" s="15" t="str">
        <f aca="false">IF(A89="","",ROUND(B89-D89,2))</f>
        <v/>
      </c>
    </row>
    <row r="90" customFormat="false" ht="15" hidden="false" customHeight="false" outlineLevel="0" collapsed="false">
      <c r="A90" s="14" t="str">
        <f aca="false">IF(85&gt;$I$12,"",85)</f>
        <v/>
      </c>
      <c r="B90" s="15" t="str">
        <f aca="false">IF(A90="","",F89)</f>
        <v/>
      </c>
      <c r="C90" s="15" t="str">
        <f aca="false">IF(A90="","",ROUND(B90*$I$11,2))</f>
        <v/>
      </c>
      <c r="D90" s="15" t="str">
        <f aca="false">IF(A90="","",IF(A90=$I$12,B90,IF($I$8="Amortissement constant",$I$14,$I$13-C90)))</f>
        <v/>
      </c>
      <c r="E90" s="15" t="str">
        <f aca="false">IF(A90="","",C90+D90)</f>
        <v/>
      </c>
      <c r="F90" s="15" t="str">
        <f aca="false">IF(A90="","",ROUND(B90-D90,2))</f>
        <v/>
      </c>
    </row>
    <row r="91" customFormat="false" ht="15" hidden="false" customHeight="false" outlineLevel="0" collapsed="false">
      <c r="A91" s="14" t="str">
        <f aca="false">IF(86&gt;$I$12,"",86)</f>
        <v/>
      </c>
      <c r="B91" s="15" t="str">
        <f aca="false">IF(A91="","",F90)</f>
        <v/>
      </c>
      <c r="C91" s="15" t="str">
        <f aca="false">IF(A91="","",ROUND(B91*$I$11,2))</f>
        <v/>
      </c>
      <c r="D91" s="15" t="str">
        <f aca="false">IF(A91="","",IF(A91=$I$12,B91,IF($I$8="Amortissement constant",$I$14,$I$13-C91)))</f>
        <v/>
      </c>
      <c r="E91" s="15" t="str">
        <f aca="false">IF(A91="","",C91+D91)</f>
        <v/>
      </c>
      <c r="F91" s="15" t="str">
        <f aca="false">IF(A91="","",ROUND(B91-D91,2))</f>
        <v/>
      </c>
    </row>
    <row r="92" customFormat="false" ht="15" hidden="false" customHeight="false" outlineLevel="0" collapsed="false">
      <c r="A92" s="14" t="str">
        <f aca="false">IF(87&gt;$I$12,"",87)</f>
        <v/>
      </c>
      <c r="B92" s="15" t="str">
        <f aca="false">IF(A92="","",F91)</f>
        <v/>
      </c>
      <c r="C92" s="15" t="str">
        <f aca="false">IF(A92="","",ROUND(B92*$I$11,2))</f>
        <v/>
      </c>
      <c r="D92" s="15" t="str">
        <f aca="false">IF(A92="","",IF(A92=$I$12,B92,IF($I$8="Amortissement constant",$I$14,$I$13-C92)))</f>
        <v/>
      </c>
      <c r="E92" s="15" t="str">
        <f aca="false">IF(A92="","",C92+D92)</f>
        <v/>
      </c>
      <c r="F92" s="15" t="str">
        <f aca="false">IF(A92="","",ROUND(B92-D92,2))</f>
        <v/>
      </c>
    </row>
    <row r="93" customFormat="false" ht="15" hidden="false" customHeight="false" outlineLevel="0" collapsed="false">
      <c r="A93" s="14" t="str">
        <f aca="false">IF(88&gt;$I$12,"",88)</f>
        <v/>
      </c>
      <c r="B93" s="15" t="str">
        <f aca="false">IF(A93="","",F92)</f>
        <v/>
      </c>
      <c r="C93" s="15" t="str">
        <f aca="false">IF(A93="","",ROUND(B93*$I$11,2))</f>
        <v/>
      </c>
      <c r="D93" s="15" t="str">
        <f aca="false">IF(A93="","",IF(A93=$I$12,B93,IF($I$8="Amortissement constant",$I$14,$I$13-C93)))</f>
        <v/>
      </c>
      <c r="E93" s="15" t="str">
        <f aca="false">IF(A93="","",C93+D93)</f>
        <v/>
      </c>
      <c r="F93" s="15" t="str">
        <f aca="false">IF(A93="","",ROUND(B93-D93,2))</f>
        <v/>
      </c>
    </row>
    <row r="94" customFormat="false" ht="15" hidden="false" customHeight="false" outlineLevel="0" collapsed="false">
      <c r="A94" s="14" t="str">
        <f aca="false">IF(89&gt;$I$12,"",89)</f>
        <v/>
      </c>
      <c r="B94" s="15" t="str">
        <f aca="false">IF(A94="","",F93)</f>
        <v/>
      </c>
      <c r="C94" s="15" t="str">
        <f aca="false">IF(A94="","",ROUND(B94*$I$11,2))</f>
        <v/>
      </c>
      <c r="D94" s="15" t="str">
        <f aca="false">IF(A94="","",IF(A94=$I$12,B94,IF($I$8="Amortissement constant",$I$14,$I$13-C94)))</f>
        <v/>
      </c>
      <c r="E94" s="15" t="str">
        <f aca="false">IF(A94="","",C94+D94)</f>
        <v/>
      </c>
      <c r="F94" s="15" t="str">
        <f aca="false">IF(A94="","",ROUND(B94-D94,2))</f>
        <v/>
      </c>
    </row>
    <row r="95" customFormat="false" ht="15" hidden="false" customHeight="false" outlineLevel="0" collapsed="false">
      <c r="A95" s="14" t="str">
        <f aca="false">IF(90&gt;$I$12,"",90)</f>
        <v/>
      </c>
      <c r="B95" s="15" t="str">
        <f aca="false">IF(A95="","",F94)</f>
        <v/>
      </c>
      <c r="C95" s="15" t="str">
        <f aca="false">IF(A95="","",ROUND(B95*$I$11,2))</f>
        <v/>
      </c>
      <c r="D95" s="15" t="str">
        <f aca="false">IF(A95="","",IF(A95=$I$12,B95,IF($I$8="Amortissement constant",$I$14,$I$13-C95)))</f>
        <v/>
      </c>
      <c r="E95" s="15" t="str">
        <f aca="false">IF(A95="","",C95+D95)</f>
        <v/>
      </c>
      <c r="F95" s="15" t="str">
        <f aca="false">IF(A95="","",ROUND(B95-D95,2))</f>
        <v/>
      </c>
    </row>
    <row r="96" customFormat="false" ht="15" hidden="false" customHeight="false" outlineLevel="0" collapsed="false">
      <c r="A96" s="14" t="str">
        <f aca="false">IF(91&gt;$I$12,"",91)</f>
        <v/>
      </c>
      <c r="B96" s="15" t="str">
        <f aca="false">IF(A96="","",F95)</f>
        <v/>
      </c>
      <c r="C96" s="15" t="str">
        <f aca="false">IF(A96="","",ROUND(B96*$I$11,2))</f>
        <v/>
      </c>
      <c r="D96" s="15" t="str">
        <f aca="false">IF(A96="","",IF(A96=$I$12,B96,IF($I$8="Amortissement constant",$I$14,$I$13-C96)))</f>
        <v/>
      </c>
      <c r="E96" s="15" t="str">
        <f aca="false">IF(A96="","",C96+D96)</f>
        <v/>
      </c>
      <c r="F96" s="15" t="str">
        <f aca="false">IF(A96="","",ROUND(B96-D96,2))</f>
        <v/>
      </c>
    </row>
    <row r="97" customFormat="false" ht="15" hidden="false" customHeight="false" outlineLevel="0" collapsed="false">
      <c r="A97" s="14" t="str">
        <f aca="false">IF(92&gt;$I$12,"",92)</f>
        <v/>
      </c>
      <c r="B97" s="15" t="str">
        <f aca="false">IF(A97="","",F96)</f>
        <v/>
      </c>
      <c r="C97" s="15" t="str">
        <f aca="false">IF(A97="","",ROUND(B97*$I$11,2))</f>
        <v/>
      </c>
      <c r="D97" s="15" t="str">
        <f aca="false">IF(A97="","",IF(A97=$I$12,B97,IF($I$8="Amortissement constant",$I$14,$I$13-C97)))</f>
        <v/>
      </c>
      <c r="E97" s="15" t="str">
        <f aca="false">IF(A97="","",C97+D97)</f>
        <v/>
      </c>
      <c r="F97" s="15" t="str">
        <f aca="false">IF(A97="","",ROUND(B97-D97,2))</f>
        <v/>
      </c>
    </row>
    <row r="98" customFormat="false" ht="15" hidden="false" customHeight="false" outlineLevel="0" collapsed="false">
      <c r="A98" s="14" t="str">
        <f aca="false">IF(93&gt;$I$12,"",93)</f>
        <v/>
      </c>
      <c r="B98" s="15" t="str">
        <f aca="false">IF(A98="","",F97)</f>
        <v/>
      </c>
      <c r="C98" s="15" t="str">
        <f aca="false">IF(A98="","",ROUND(B98*$I$11,2))</f>
        <v/>
      </c>
      <c r="D98" s="15" t="str">
        <f aca="false">IF(A98="","",IF(A98=$I$12,B98,IF($I$8="Amortissement constant",$I$14,$I$13-C98)))</f>
        <v/>
      </c>
      <c r="E98" s="15" t="str">
        <f aca="false">IF(A98="","",C98+D98)</f>
        <v/>
      </c>
      <c r="F98" s="15" t="str">
        <f aca="false">IF(A98="","",ROUND(B98-D98,2))</f>
        <v/>
      </c>
    </row>
    <row r="99" customFormat="false" ht="15" hidden="false" customHeight="false" outlineLevel="0" collapsed="false">
      <c r="A99" s="14" t="str">
        <f aca="false">IF(94&gt;$I$12,"",94)</f>
        <v/>
      </c>
      <c r="B99" s="15" t="str">
        <f aca="false">IF(A99="","",F98)</f>
        <v/>
      </c>
      <c r="C99" s="15" t="str">
        <f aca="false">IF(A99="","",ROUND(B99*$I$11,2))</f>
        <v/>
      </c>
      <c r="D99" s="15" t="str">
        <f aca="false">IF(A99="","",IF(A99=$I$12,B99,IF($I$8="Amortissement constant",$I$14,$I$13-C99)))</f>
        <v/>
      </c>
      <c r="E99" s="15" t="str">
        <f aca="false">IF(A99="","",C99+D99)</f>
        <v/>
      </c>
      <c r="F99" s="15" t="str">
        <f aca="false">IF(A99="","",ROUND(B99-D99,2))</f>
        <v/>
      </c>
    </row>
    <row r="100" customFormat="false" ht="15" hidden="false" customHeight="false" outlineLevel="0" collapsed="false">
      <c r="A100" s="14" t="str">
        <f aca="false">IF(95&gt;$I$12,"",95)</f>
        <v/>
      </c>
      <c r="B100" s="15" t="str">
        <f aca="false">IF(A100="","",F99)</f>
        <v/>
      </c>
      <c r="C100" s="15" t="str">
        <f aca="false">IF(A100="","",ROUND(B100*$I$11,2))</f>
        <v/>
      </c>
      <c r="D100" s="15" t="str">
        <f aca="false">IF(A100="","",IF(A100=$I$12,B100,IF($I$8="Amortissement constant",$I$14,$I$13-C100)))</f>
        <v/>
      </c>
      <c r="E100" s="15" t="str">
        <f aca="false">IF(A100="","",C100+D100)</f>
        <v/>
      </c>
      <c r="F100" s="15" t="str">
        <f aca="false">IF(A100="","",ROUND(B100-D100,2))</f>
        <v/>
      </c>
    </row>
    <row r="101" customFormat="false" ht="15" hidden="false" customHeight="false" outlineLevel="0" collapsed="false">
      <c r="A101" s="14" t="str">
        <f aca="false">IF(96&gt;$I$12,"",96)</f>
        <v/>
      </c>
      <c r="B101" s="15" t="str">
        <f aca="false">IF(A101="","",F100)</f>
        <v/>
      </c>
      <c r="C101" s="15" t="str">
        <f aca="false">IF(A101="","",ROUND(B101*$I$11,2))</f>
        <v/>
      </c>
      <c r="D101" s="15" t="str">
        <f aca="false">IF(A101="","",IF(A101=$I$12,B101,IF($I$8="Amortissement constant",$I$14,$I$13-C101)))</f>
        <v/>
      </c>
      <c r="E101" s="15" t="str">
        <f aca="false">IF(A101="","",C101+D101)</f>
        <v/>
      </c>
      <c r="F101" s="15" t="str">
        <f aca="false">IF(A101="","",ROUND(B101-D101,2))</f>
        <v/>
      </c>
    </row>
    <row r="102" customFormat="false" ht="15" hidden="false" customHeight="false" outlineLevel="0" collapsed="false">
      <c r="A102" s="14" t="str">
        <f aca="false">IF(97&gt;$I$12,"",97)</f>
        <v/>
      </c>
      <c r="B102" s="15" t="str">
        <f aca="false">IF(A102="","",F101)</f>
        <v/>
      </c>
      <c r="C102" s="15" t="str">
        <f aca="false">IF(A102="","",ROUND(B102*$I$11,2))</f>
        <v/>
      </c>
      <c r="D102" s="15" t="str">
        <f aca="false">IF(A102="","",IF(A102=$I$12,B102,IF($I$8="Amortissement constant",$I$14,$I$13-C102)))</f>
        <v/>
      </c>
      <c r="E102" s="15" t="str">
        <f aca="false">IF(A102="","",C102+D102)</f>
        <v/>
      </c>
      <c r="F102" s="15" t="str">
        <f aca="false">IF(A102="","",ROUND(B102-D102,2))</f>
        <v/>
      </c>
    </row>
    <row r="103" customFormat="false" ht="15" hidden="false" customHeight="false" outlineLevel="0" collapsed="false">
      <c r="A103" s="14" t="str">
        <f aca="false">IF(98&gt;$I$12,"",98)</f>
        <v/>
      </c>
      <c r="B103" s="15" t="str">
        <f aca="false">IF(A103="","",F102)</f>
        <v/>
      </c>
      <c r="C103" s="15" t="str">
        <f aca="false">IF(A103="","",ROUND(B103*$I$11,2))</f>
        <v/>
      </c>
      <c r="D103" s="15" t="str">
        <f aca="false">IF(A103="","",IF(A103=$I$12,B103,IF($I$8="Amortissement constant",$I$14,$I$13-C103)))</f>
        <v/>
      </c>
      <c r="E103" s="15" t="str">
        <f aca="false">IF(A103="","",C103+D103)</f>
        <v/>
      </c>
      <c r="F103" s="15" t="str">
        <f aca="false">IF(A103="","",ROUND(B103-D103,2))</f>
        <v/>
      </c>
    </row>
    <row r="104" customFormat="false" ht="15" hidden="false" customHeight="false" outlineLevel="0" collapsed="false">
      <c r="A104" s="14" t="str">
        <f aca="false">IF(99&gt;$I$12,"",99)</f>
        <v/>
      </c>
      <c r="B104" s="15" t="str">
        <f aca="false">IF(A104="","",F103)</f>
        <v/>
      </c>
      <c r="C104" s="15" t="str">
        <f aca="false">IF(A104="","",ROUND(B104*$I$11,2))</f>
        <v/>
      </c>
      <c r="D104" s="15" t="str">
        <f aca="false">IF(A104="","",IF(A104=$I$12,B104,IF($I$8="Amortissement constant",$I$14,$I$13-C104)))</f>
        <v/>
      </c>
      <c r="E104" s="15" t="str">
        <f aca="false">IF(A104="","",C104+D104)</f>
        <v/>
      </c>
      <c r="F104" s="15" t="str">
        <f aca="false">IF(A104="","",ROUND(B104-D104,2))</f>
        <v/>
      </c>
    </row>
    <row r="105" customFormat="false" ht="15" hidden="false" customHeight="false" outlineLevel="0" collapsed="false">
      <c r="A105" s="14" t="str">
        <f aca="false">IF(100&gt;$I$12,"",100)</f>
        <v/>
      </c>
      <c r="B105" s="15" t="str">
        <f aca="false">IF(A105="","",F104)</f>
        <v/>
      </c>
      <c r="C105" s="15" t="str">
        <f aca="false">IF(A105="","",ROUND(B105*$I$11,2))</f>
        <v/>
      </c>
      <c r="D105" s="15" t="str">
        <f aca="false">IF(A105="","",IF(A105=$I$12,B105,IF($I$8="Amortissement constant",$I$14,$I$13-C105)))</f>
        <v/>
      </c>
      <c r="E105" s="15" t="str">
        <f aca="false">IF(A105="","",C105+D105)</f>
        <v/>
      </c>
      <c r="F105" s="15" t="str">
        <f aca="false">IF(A105="","",ROUND(B105-D105,2))</f>
        <v/>
      </c>
    </row>
    <row r="106" customFormat="false" ht="15" hidden="false" customHeight="false" outlineLevel="0" collapsed="false">
      <c r="A106" s="14" t="str">
        <f aca="false">IF(101&gt;$I$12,"",101)</f>
        <v/>
      </c>
      <c r="B106" s="15" t="str">
        <f aca="false">IF(A106="","",F105)</f>
        <v/>
      </c>
      <c r="C106" s="15" t="str">
        <f aca="false">IF(A106="","",ROUND(B106*$I$11,2))</f>
        <v/>
      </c>
      <c r="D106" s="15" t="str">
        <f aca="false">IF(A106="","",IF(A106=$I$12,B106,IF($I$8="Amortissement constant",$I$14,$I$13-C106)))</f>
        <v/>
      </c>
      <c r="E106" s="15" t="str">
        <f aca="false">IF(A106="","",C106+D106)</f>
        <v/>
      </c>
      <c r="F106" s="15" t="str">
        <f aca="false">IF(A106="","",ROUND(B106-D106,2))</f>
        <v/>
      </c>
    </row>
    <row r="107" customFormat="false" ht="15" hidden="false" customHeight="false" outlineLevel="0" collapsed="false">
      <c r="A107" s="14" t="str">
        <f aca="false">IF(102&gt;$I$12,"",102)</f>
        <v/>
      </c>
      <c r="B107" s="15" t="str">
        <f aca="false">IF(A107="","",F106)</f>
        <v/>
      </c>
      <c r="C107" s="15" t="str">
        <f aca="false">IF(A107="","",ROUND(B107*$I$11,2))</f>
        <v/>
      </c>
      <c r="D107" s="15" t="str">
        <f aca="false">IF(A107="","",IF(A107=$I$12,B107,IF($I$8="Amortissement constant",$I$14,$I$13-C107)))</f>
        <v/>
      </c>
      <c r="E107" s="15" t="str">
        <f aca="false">IF(A107="","",C107+D107)</f>
        <v/>
      </c>
      <c r="F107" s="15" t="str">
        <f aca="false">IF(A107="","",ROUND(B107-D107,2))</f>
        <v/>
      </c>
    </row>
    <row r="108" customFormat="false" ht="15" hidden="false" customHeight="false" outlineLevel="0" collapsed="false">
      <c r="A108" s="14" t="str">
        <f aca="false">IF(103&gt;$I$12,"",103)</f>
        <v/>
      </c>
      <c r="B108" s="15" t="str">
        <f aca="false">IF(A108="","",F107)</f>
        <v/>
      </c>
      <c r="C108" s="15" t="str">
        <f aca="false">IF(A108="","",ROUND(B108*$I$11,2))</f>
        <v/>
      </c>
      <c r="D108" s="15" t="str">
        <f aca="false">IF(A108="","",IF(A108=$I$12,B108,IF($I$8="Amortissement constant",$I$14,$I$13-C108)))</f>
        <v/>
      </c>
      <c r="E108" s="15" t="str">
        <f aca="false">IF(A108="","",C108+D108)</f>
        <v/>
      </c>
      <c r="F108" s="15" t="str">
        <f aca="false">IF(A108="","",ROUND(B108-D108,2))</f>
        <v/>
      </c>
    </row>
    <row r="109" customFormat="false" ht="15" hidden="false" customHeight="false" outlineLevel="0" collapsed="false">
      <c r="A109" s="14" t="str">
        <f aca="false">IF(104&gt;$I$12,"",104)</f>
        <v/>
      </c>
      <c r="B109" s="15" t="str">
        <f aca="false">IF(A109="","",F108)</f>
        <v/>
      </c>
      <c r="C109" s="15" t="str">
        <f aca="false">IF(A109="","",ROUND(B109*$I$11,2))</f>
        <v/>
      </c>
      <c r="D109" s="15" t="str">
        <f aca="false">IF(A109="","",IF(A109=$I$12,B109,IF($I$8="Amortissement constant",$I$14,$I$13-C109)))</f>
        <v/>
      </c>
      <c r="E109" s="15" t="str">
        <f aca="false">IF(A109="","",C109+D109)</f>
        <v/>
      </c>
      <c r="F109" s="15" t="str">
        <f aca="false">IF(A109="","",ROUND(B109-D109,2))</f>
        <v/>
      </c>
    </row>
    <row r="110" customFormat="false" ht="15" hidden="false" customHeight="false" outlineLevel="0" collapsed="false">
      <c r="A110" s="14" t="str">
        <f aca="false">IF(105&gt;$I$12,"",105)</f>
        <v/>
      </c>
      <c r="B110" s="15" t="str">
        <f aca="false">IF(A110="","",F109)</f>
        <v/>
      </c>
      <c r="C110" s="15" t="str">
        <f aca="false">IF(A110="","",ROUND(B110*$I$11,2))</f>
        <v/>
      </c>
      <c r="D110" s="15" t="str">
        <f aca="false">IF(A110="","",IF(A110=$I$12,B110,IF($I$8="Amortissement constant",$I$14,$I$13-C110)))</f>
        <v/>
      </c>
      <c r="E110" s="15" t="str">
        <f aca="false">IF(A110="","",C110+D110)</f>
        <v/>
      </c>
      <c r="F110" s="15" t="str">
        <f aca="false">IF(A110="","",ROUND(B110-D110,2))</f>
        <v/>
      </c>
    </row>
    <row r="111" customFormat="false" ht="15" hidden="false" customHeight="false" outlineLevel="0" collapsed="false">
      <c r="A111" s="14" t="str">
        <f aca="false">IF(106&gt;$I$12,"",106)</f>
        <v/>
      </c>
      <c r="B111" s="15" t="str">
        <f aca="false">IF(A111="","",F110)</f>
        <v/>
      </c>
      <c r="C111" s="15" t="str">
        <f aca="false">IF(A111="","",ROUND(B111*$I$11,2))</f>
        <v/>
      </c>
      <c r="D111" s="15" t="str">
        <f aca="false">IF(A111="","",IF(A111=$I$12,B111,IF($I$8="Amortissement constant",$I$14,$I$13-C111)))</f>
        <v/>
      </c>
      <c r="E111" s="15" t="str">
        <f aca="false">IF(A111="","",C111+D111)</f>
        <v/>
      </c>
      <c r="F111" s="15" t="str">
        <f aca="false">IF(A111="","",ROUND(B111-D111,2))</f>
        <v/>
      </c>
    </row>
    <row r="112" customFormat="false" ht="15" hidden="false" customHeight="false" outlineLevel="0" collapsed="false">
      <c r="A112" s="14" t="str">
        <f aca="false">IF(107&gt;$I$12,"",107)</f>
        <v/>
      </c>
      <c r="B112" s="15" t="str">
        <f aca="false">IF(A112="","",F111)</f>
        <v/>
      </c>
      <c r="C112" s="15" t="str">
        <f aca="false">IF(A112="","",ROUND(B112*$I$11,2))</f>
        <v/>
      </c>
      <c r="D112" s="15" t="str">
        <f aca="false">IF(A112="","",IF(A112=$I$12,B112,IF($I$8="Amortissement constant",$I$14,$I$13-C112)))</f>
        <v/>
      </c>
      <c r="E112" s="15" t="str">
        <f aca="false">IF(A112="","",C112+D112)</f>
        <v/>
      </c>
      <c r="F112" s="15" t="str">
        <f aca="false">IF(A112="","",ROUND(B112-D112,2))</f>
        <v/>
      </c>
    </row>
    <row r="113" customFormat="false" ht="15" hidden="false" customHeight="false" outlineLevel="0" collapsed="false">
      <c r="A113" s="14" t="str">
        <f aca="false">IF(108&gt;$I$12,"",108)</f>
        <v/>
      </c>
      <c r="B113" s="15" t="str">
        <f aca="false">IF(A113="","",F112)</f>
        <v/>
      </c>
      <c r="C113" s="15" t="str">
        <f aca="false">IF(A113="","",ROUND(B113*$I$11,2))</f>
        <v/>
      </c>
      <c r="D113" s="15" t="str">
        <f aca="false">IF(A113="","",IF(A113=$I$12,B113,IF($I$8="Amortissement constant",$I$14,$I$13-C113)))</f>
        <v/>
      </c>
      <c r="E113" s="15" t="str">
        <f aca="false">IF(A113="","",C113+D113)</f>
        <v/>
      </c>
      <c r="F113" s="15" t="str">
        <f aca="false">IF(A113="","",ROUND(B113-D113,2))</f>
        <v/>
      </c>
    </row>
    <row r="114" customFormat="false" ht="15" hidden="false" customHeight="false" outlineLevel="0" collapsed="false">
      <c r="A114" s="14" t="str">
        <f aca="false">IF(109&gt;$I$12,"",109)</f>
        <v/>
      </c>
      <c r="B114" s="15" t="str">
        <f aca="false">IF(A114="","",F113)</f>
        <v/>
      </c>
      <c r="C114" s="15" t="str">
        <f aca="false">IF(A114="","",ROUND(B114*$I$11,2))</f>
        <v/>
      </c>
      <c r="D114" s="15" t="str">
        <f aca="false">IF(A114="","",IF(A114=$I$12,B114,IF($I$8="Amortissement constant",$I$14,$I$13-C114)))</f>
        <v/>
      </c>
      <c r="E114" s="15" t="str">
        <f aca="false">IF(A114="","",C114+D114)</f>
        <v/>
      </c>
      <c r="F114" s="15" t="str">
        <f aca="false">IF(A114="","",ROUND(B114-D114,2))</f>
        <v/>
      </c>
    </row>
    <row r="115" customFormat="false" ht="15" hidden="false" customHeight="false" outlineLevel="0" collapsed="false">
      <c r="A115" s="14" t="str">
        <f aca="false">IF(110&gt;$I$12,"",110)</f>
        <v/>
      </c>
      <c r="B115" s="15" t="str">
        <f aca="false">IF(A115="","",F114)</f>
        <v/>
      </c>
      <c r="C115" s="15" t="str">
        <f aca="false">IF(A115="","",ROUND(B115*$I$11,2))</f>
        <v/>
      </c>
      <c r="D115" s="15" t="str">
        <f aca="false">IF(A115="","",IF(A115=$I$12,B115,IF($I$8="Amortissement constant",$I$14,$I$13-C115)))</f>
        <v/>
      </c>
      <c r="E115" s="15" t="str">
        <f aca="false">IF(A115="","",C115+D115)</f>
        <v/>
      </c>
      <c r="F115" s="15" t="str">
        <f aca="false">IF(A115="","",ROUND(B115-D115,2))</f>
        <v/>
      </c>
    </row>
    <row r="116" customFormat="false" ht="15" hidden="false" customHeight="false" outlineLevel="0" collapsed="false">
      <c r="A116" s="14" t="str">
        <f aca="false">IF(111&gt;$I$12,"",111)</f>
        <v/>
      </c>
      <c r="B116" s="15" t="str">
        <f aca="false">IF(A116="","",F115)</f>
        <v/>
      </c>
      <c r="C116" s="15" t="str">
        <f aca="false">IF(A116="","",ROUND(B116*$I$11,2))</f>
        <v/>
      </c>
      <c r="D116" s="15" t="str">
        <f aca="false">IF(A116="","",IF(A116=$I$12,B116,IF($I$8="Amortissement constant",$I$14,$I$13-C116)))</f>
        <v/>
      </c>
      <c r="E116" s="15" t="str">
        <f aca="false">IF(A116="","",C116+D116)</f>
        <v/>
      </c>
      <c r="F116" s="15" t="str">
        <f aca="false">IF(A116="","",ROUND(B116-D116,2))</f>
        <v/>
      </c>
    </row>
    <row r="117" customFormat="false" ht="15" hidden="false" customHeight="false" outlineLevel="0" collapsed="false">
      <c r="A117" s="14" t="str">
        <f aca="false">IF(112&gt;$I$12,"",112)</f>
        <v/>
      </c>
      <c r="B117" s="15" t="str">
        <f aca="false">IF(A117="","",F116)</f>
        <v/>
      </c>
      <c r="C117" s="15" t="str">
        <f aca="false">IF(A117="","",ROUND(B117*$I$11,2))</f>
        <v/>
      </c>
      <c r="D117" s="15" t="str">
        <f aca="false">IF(A117="","",IF(A117=$I$12,B117,IF($I$8="Amortissement constant",$I$14,$I$13-C117)))</f>
        <v/>
      </c>
      <c r="E117" s="15" t="str">
        <f aca="false">IF(A117="","",C117+D117)</f>
        <v/>
      </c>
      <c r="F117" s="15" t="str">
        <f aca="false">IF(A117="","",ROUND(B117-D117,2))</f>
        <v/>
      </c>
    </row>
    <row r="118" customFormat="false" ht="15" hidden="false" customHeight="false" outlineLevel="0" collapsed="false">
      <c r="A118" s="14" t="str">
        <f aca="false">IF(113&gt;$I$12,"",113)</f>
        <v/>
      </c>
      <c r="B118" s="15" t="str">
        <f aca="false">IF(A118="","",F117)</f>
        <v/>
      </c>
      <c r="C118" s="15" t="str">
        <f aca="false">IF(A118="","",ROUND(B118*$I$11,2))</f>
        <v/>
      </c>
      <c r="D118" s="15" t="str">
        <f aca="false">IF(A118="","",IF(A118=$I$12,B118,IF($I$8="Amortissement constant",$I$14,$I$13-C118)))</f>
        <v/>
      </c>
      <c r="E118" s="15" t="str">
        <f aca="false">IF(A118="","",C118+D118)</f>
        <v/>
      </c>
      <c r="F118" s="15" t="str">
        <f aca="false">IF(A118="","",ROUND(B118-D118,2))</f>
        <v/>
      </c>
    </row>
    <row r="119" customFormat="false" ht="15" hidden="false" customHeight="false" outlineLevel="0" collapsed="false">
      <c r="A119" s="14" t="str">
        <f aca="false">IF(114&gt;$I$12,"",114)</f>
        <v/>
      </c>
      <c r="B119" s="15" t="str">
        <f aca="false">IF(A119="","",F118)</f>
        <v/>
      </c>
      <c r="C119" s="15" t="str">
        <f aca="false">IF(A119="","",ROUND(B119*$I$11,2))</f>
        <v/>
      </c>
      <c r="D119" s="15" t="str">
        <f aca="false">IF(A119="","",IF(A119=$I$12,B119,IF($I$8="Amortissement constant",$I$14,$I$13-C119)))</f>
        <v/>
      </c>
      <c r="E119" s="15" t="str">
        <f aca="false">IF(A119="","",C119+D119)</f>
        <v/>
      </c>
      <c r="F119" s="15" t="str">
        <f aca="false">IF(A119="","",ROUND(B119-D119,2))</f>
        <v/>
      </c>
    </row>
    <row r="120" customFormat="false" ht="15" hidden="false" customHeight="false" outlineLevel="0" collapsed="false">
      <c r="A120" s="14" t="str">
        <f aca="false">IF(115&gt;$I$12,"",115)</f>
        <v/>
      </c>
      <c r="B120" s="15" t="str">
        <f aca="false">IF(A120="","",F119)</f>
        <v/>
      </c>
      <c r="C120" s="15" t="str">
        <f aca="false">IF(A120="","",ROUND(B120*$I$11,2))</f>
        <v/>
      </c>
      <c r="D120" s="15" t="str">
        <f aca="false">IF(A120="","",IF(A120=$I$12,B120,IF($I$8="Amortissement constant",$I$14,$I$13-C120)))</f>
        <v/>
      </c>
      <c r="E120" s="15" t="str">
        <f aca="false">IF(A120="","",C120+D120)</f>
        <v/>
      </c>
      <c r="F120" s="15" t="str">
        <f aca="false">IF(A120="","",ROUND(B120-D120,2))</f>
        <v/>
      </c>
    </row>
    <row r="121" customFormat="false" ht="15" hidden="false" customHeight="false" outlineLevel="0" collapsed="false">
      <c r="A121" s="14" t="str">
        <f aca="false">IF(116&gt;$I$12,"",116)</f>
        <v/>
      </c>
      <c r="B121" s="15" t="str">
        <f aca="false">IF(A121="","",F120)</f>
        <v/>
      </c>
      <c r="C121" s="15" t="str">
        <f aca="false">IF(A121="","",ROUND(B121*$I$11,2))</f>
        <v/>
      </c>
      <c r="D121" s="15" t="str">
        <f aca="false">IF(A121="","",IF(A121=$I$12,B121,IF($I$8="Amortissement constant",$I$14,$I$13-C121)))</f>
        <v/>
      </c>
      <c r="E121" s="15" t="str">
        <f aca="false">IF(A121="","",C121+D121)</f>
        <v/>
      </c>
      <c r="F121" s="15" t="str">
        <f aca="false">IF(A121="","",ROUND(B121-D121,2))</f>
        <v/>
      </c>
    </row>
    <row r="122" customFormat="false" ht="15" hidden="false" customHeight="false" outlineLevel="0" collapsed="false">
      <c r="A122" s="14" t="str">
        <f aca="false">IF(117&gt;$I$12,"",117)</f>
        <v/>
      </c>
      <c r="B122" s="15" t="str">
        <f aca="false">IF(A122="","",F121)</f>
        <v/>
      </c>
      <c r="C122" s="15" t="str">
        <f aca="false">IF(A122="","",ROUND(B122*$I$11,2))</f>
        <v/>
      </c>
      <c r="D122" s="15" t="str">
        <f aca="false">IF(A122="","",IF(A122=$I$12,B122,IF($I$8="Amortissement constant",$I$14,$I$13-C122)))</f>
        <v/>
      </c>
      <c r="E122" s="15" t="str">
        <f aca="false">IF(A122="","",C122+D122)</f>
        <v/>
      </c>
      <c r="F122" s="15" t="str">
        <f aca="false">IF(A122="","",ROUND(B122-D122,2))</f>
        <v/>
      </c>
    </row>
    <row r="123" customFormat="false" ht="15" hidden="false" customHeight="false" outlineLevel="0" collapsed="false">
      <c r="A123" s="14" t="str">
        <f aca="false">IF(118&gt;$I$12,"",118)</f>
        <v/>
      </c>
      <c r="B123" s="15" t="str">
        <f aca="false">IF(A123="","",F122)</f>
        <v/>
      </c>
      <c r="C123" s="15" t="str">
        <f aca="false">IF(A123="","",ROUND(B123*$I$11,2))</f>
        <v/>
      </c>
      <c r="D123" s="15" t="str">
        <f aca="false">IF(A123="","",IF(A123=$I$12,B123,IF($I$8="Amortissement constant",$I$14,$I$13-C123)))</f>
        <v/>
      </c>
      <c r="E123" s="15" t="str">
        <f aca="false">IF(A123="","",C123+D123)</f>
        <v/>
      </c>
      <c r="F123" s="15" t="str">
        <f aca="false">IF(A123="","",ROUND(B123-D123,2))</f>
        <v/>
      </c>
    </row>
    <row r="124" customFormat="false" ht="15" hidden="false" customHeight="false" outlineLevel="0" collapsed="false">
      <c r="A124" s="14" t="str">
        <f aca="false">IF(119&gt;$I$12,"",119)</f>
        <v/>
      </c>
      <c r="B124" s="15" t="str">
        <f aca="false">IF(A124="","",F123)</f>
        <v/>
      </c>
      <c r="C124" s="15" t="str">
        <f aca="false">IF(A124="","",ROUND(B124*$I$11,2))</f>
        <v/>
      </c>
      <c r="D124" s="15" t="str">
        <f aca="false">IF(A124="","",IF(A124=$I$12,B124,IF($I$8="Amortissement constant",$I$14,$I$13-C124)))</f>
        <v/>
      </c>
      <c r="E124" s="15" t="str">
        <f aca="false">IF(A124="","",C124+D124)</f>
        <v/>
      </c>
      <c r="F124" s="15" t="str">
        <f aca="false">IF(A124="","",ROUND(B124-D124,2))</f>
        <v/>
      </c>
    </row>
    <row r="125" customFormat="false" ht="15" hidden="false" customHeight="false" outlineLevel="0" collapsed="false">
      <c r="A125" s="14" t="str">
        <f aca="false">IF(120&gt;$I$12,"",120)</f>
        <v/>
      </c>
      <c r="B125" s="15" t="str">
        <f aca="false">IF(A125="","",F124)</f>
        <v/>
      </c>
      <c r="C125" s="15" t="str">
        <f aca="false">IF(A125="","",ROUND(B125*$I$11,2))</f>
        <v/>
      </c>
      <c r="D125" s="15" t="str">
        <f aca="false">IF(A125="","",IF(A125=$I$12,B125,IF($I$8="Amortissement constant",$I$14,$I$13-C125)))</f>
        <v/>
      </c>
      <c r="E125" s="15" t="str">
        <f aca="false">IF(A125="","",C125+D125)</f>
        <v/>
      </c>
      <c r="F125" s="15" t="str">
        <f aca="false">IF(A125="","",ROUND(B125-D125,2))</f>
        <v/>
      </c>
    </row>
    <row r="126" customFormat="false" ht="15" hidden="false" customHeight="false" outlineLevel="0" collapsed="false">
      <c r="A126" s="14" t="str">
        <f aca="false">IF(121&gt;$I$12,"",121)</f>
        <v/>
      </c>
      <c r="B126" s="15" t="str">
        <f aca="false">IF(A126="","",F125)</f>
        <v/>
      </c>
      <c r="C126" s="15" t="str">
        <f aca="false">IF(A126="","",ROUND(B126*$I$11,2))</f>
        <v/>
      </c>
      <c r="D126" s="15" t="str">
        <f aca="false">IF(A126="","",IF(A126=$I$12,B126,IF($I$8="Amortissement constant",$I$14,$I$13-C126)))</f>
        <v/>
      </c>
      <c r="E126" s="15" t="str">
        <f aca="false">IF(A126="","",C126+D126)</f>
        <v/>
      </c>
      <c r="F126" s="15" t="str">
        <f aca="false">IF(A126="","",ROUND(B126-D126,2))</f>
        <v/>
      </c>
    </row>
    <row r="127" customFormat="false" ht="15" hidden="false" customHeight="false" outlineLevel="0" collapsed="false">
      <c r="A127" s="14" t="str">
        <f aca="false">IF(122&gt;$I$12,"",122)</f>
        <v/>
      </c>
      <c r="B127" s="15" t="str">
        <f aca="false">IF(A127="","",F126)</f>
        <v/>
      </c>
      <c r="C127" s="15" t="str">
        <f aca="false">IF(A127="","",ROUND(B127*$I$11,2))</f>
        <v/>
      </c>
      <c r="D127" s="15" t="str">
        <f aca="false">IF(A127="","",IF(A127=$I$12,B127,IF($I$8="Amortissement constant",$I$14,$I$13-C127)))</f>
        <v/>
      </c>
      <c r="E127" s="15" t="str">
        <f aca="false">IF(A127="","",C127+D127)</f>
        <v/>
      </c>
      <c r="F127" s="15" t="str">
        <f aca="false">IF(A127="","",ROUND(B127-D127,2))</f>
        <v/>
      </c>
    </row>
    <row r="128" customFormat="false" ht="15" hidden="false" customHeight="false" outlineLevel="0" collapsed="false">
      <c r="A128" s="14" t="str">
        <f aca="false">IF(123&gt;$I$12,"",123)</f>
        <v/>
      </c>
      <c r="B128" s="15" t="str">
        <f aca="false">IF(A128="","",F127)</f>
        <v/>
      </c>
      <c r="C128" s="15" t="str">
        <f aca="false">IF(A128="","",ROUND(B128*$I$11,2))</f>
        <v/>
      </c>
      <c r="D128" s="15" t="str">
        <f aca="false">IF(A128="","",IF(A128=$I$12,B128,IF($I$8="Amortissement constant",$I$14,$I$13-C128)))</f>
        <v/>
      </c>
      <c r="E128" s="15" t="str">
        <f aca="false">IF(A128="","",C128+D128)</f>
        <v/>
      </c>
      <c r="F128" s="15" t="str">
        <f aca="false">IF(A128="","",ROUND(B128-D128,2))</f>
        <v/>
      </c>
    </row>
    <row r="129" customFormat="false" ht="15" hidden="false" customHeight="false" outlineLevel="0" collapsed="false">
      <c r="A129" s="14" t="str">
        <f aca="false">IF(124&gt;$I$12,"",124)</f>
        <v/>
      </c>
      <c r="B129" s="15" t="str">
        <f aca="false">IF(A129="","",F128)</f>
        <v/>
      </c>
      <c r="C129" s="15" t="str">
        <f aca="false">IF(A129="","",ROUND(B129*$I$11,2))</f>
        <v/>
      </c>
      <c r="D129" s="15" t="str">
        <f aca="false">IF(A129="","",IF(A129=$I$12,B129,IF($I$8="Amortissement constant",$I$14,$I$13-C129)))</f>
        <v/>
      </c>
      <c r="E129" s="15" t="str">
        <f aca="false">IF(A129="","",C129+D129)</f>
        <v/>
      </c>
      <c r="F129" s="15" t="str">
        <f aca="false">IF(A129="","",ROUND(B129-D129,2))</f>
        <v/>
      </c>
    </row>
    <row r="130" customFormat="false" ht="15" hidden="false" customHeight="false" outlineLevel="0" collapsed="false">
      <c r="A130" s="14" t="str">
        <f aca="false">IF(125&gt;$I$12,"",125)</f>
        <v/>
      </c>
      <c r="B130" s="15" t="str">
        <f aca="false">IF(A130="","",F129)</f>
        <v/>
      </c>
      <c r="C130" s="15" t="str">
        <f aca="false">IF(A130="","",ROUND(B130*$I$11,2))</f>
        <v/>
      </c>
      <c r="D130" s="15" t="str">
        <f aca="false">IF(A130="","",IF(A130=$I$12,B130,IF($I$8="Amortissement constant",$I$14,$I$13-C130)))</f>
        <v/>
      </c>
      <c r="E130" s="15" t="str">
        <f aca="false">IF(A130="","",C130+D130)</f>
        <v/>
      </c>
      <c r="F130" s="15" t="str">
        <f aca="false">IF(A130="","",ROUND(B130-D130,2))</f>
        <v/>
      </c>
    </row>
    <row r="131" customFormat="false" ht="15" hidden="false" customHeight="false" outlineLevel="0" collapsed="false">
      <c r="A131" s="14" t="str">
        <f aca="false">IF(126&gt;$I$12,"",126)</f>
        <v/>
      </c>
      <c r="B131" s="15" t="str">
        <f aca="false">IF(A131="","",F130)</f>
        <v/>
      </c>
      <c r="C131" s="15" t="str">
        <f aca="false">IF(A131="","",ROUND(B131*$I$11,2))</f>
        <v/>
      </c>
      <c r="D131" s="15" t="str">
        <f aca="false">IF(A131="","",IF(A131=$I$12,B131,IF($I$8="Amortissement constant",$I$14,$I$13-C131)))</f>
        <v/>
      </c>
      <c r="E131" s="15" t="str">
        <f aca="false">IF(A131="","",C131+D131)</f>
        <v/>
      </c>
      <c r="F131" s="15" t="str">
        <f aca="false">IF(A131="","",ROUND(B131-D131,2))</f>
        <v/>
      </c>
    </row>
    <row r="132" customFormat="false" ht="15" hidden="false" customHeight="false" outlineLevel="0" collapsed="false">
      <c r="A132" s="14" t="str">
        <f aca="false">IF(127&gt;$I$12,"",127)</f>
        <v/>
      </c>
      <c r="B132" s="15" t="str">
        <f aca="false">IF(A132="","",F131)</f>
        <v/>
      </c>
      <c r="C132" s="15" t="str">
        <f aca="false">IF(A132="","",ROUND(B132*$I$11,2))</f>
        <v/>
      </c>
      <c r="D132" s="15" t="str">
        <f aca="false">IF(A132="","",IF(A132=$I$12,B132,IF($I$8="Amortissement constant",$I$14,$I$13-C132)))</f>
        <v/>
      </c>
      <c r="E132" s="15" t="str">
        <f aca="false">IF(A132="","",C132+D132)</f>
        <v/>
      </c>
      <c r="F132" s="15" t="str">
        <f aca="false">IF(A132="","",ROUND(B132-D132,2))</f>
        <v/>
      </c>
    </row>
    <row r="133" customFormat="false" ht="15" hidden="false" customHeight="false" outlineLevel="0" collapsed="false">
      <c r="A133" s="14" t="str">
        <f aca="false">IF(128&gt;$I$12,"",128)</f>
        <v/>
      </c>
      <c r="B133" s="15" t="str">
        <f aca="false">IF(A133="","",F132)</f>
        <v/>
      </c>
      <c r="C133" s="15" t="str">
        <f aca="false">IF(A133="","",ROUND(B133*$I$11,2))</f>
        <v/>
      </c>
      <c r="D133" s="15" t="str">
        <f aca="false">IF(A133="","",IF(A133=$I$12,B133,IF($I$8="Amortissement constant",$I$14,$I$13-C133)))</f>
        <v/>
      </c>
      <c r="E133" s="15" t="str">
        <f aca="false">IF(A133="","",C133+D133)</f>
        <v/>
      </c>
      <c r="F133" s="15" t="str">
        <f aca="false">IF(A133="","",ROUND(B133-D133,2))</f>
        <v/>
      </c>
    </row>
    <row r="134" customFormat="false" ht="15" hidden="false" customHeight="false" outlineLevel="0" collapsed="false">
      <c r="A134" s="14" t="str">
        <f aca="false">IF(129&gt;$I$12,"",129)</f>
        <v/>
      </c>
      <c r="B134" s="15" t="str">
        <f aca="false">IF(A134="","",F133)</f>
        <v/>
      </c>
      <c r="C134" s="15" t="str">
        <f aca="false">IF(A134="","",ROUND(B134*$I$11,2))</f>
        <v/>
      </c>
      <c r="D134" s="15" t="str">
        <f aca="false">IF(A134="","",IF(A134=$I$12,B134,IF($I$8="Amortissement constant",$I$14,$I$13-C134)))</f>
        <v/>
      </c>
      <c r="E134" s="15" t="str">
        <f aca="false">IF(A134="","",C134+D134)</f>
        <v/>
      </c>
      <c r="F134" s="15" t="str">
        <f aca="false">IF(A134="","",ROUND(B134-D134,2))</f>
        <v/>
      </c>
    </row>
    <row r="135" customFormat="false" ht="15" hidden="false" customHeight="false" outlineLevel="0" collapsed="false">
      <c r="A135" s="14" t="str">
        <f aca="false">IF(130&gt;$I$12,"",130)</f>
        <v/>
      </c>
      <c r="B135" s="15" t="str">
        <f aca="false">IF(A135="","",F134)</f>
        <v/>
      </c>
      <c r="C135" s="15" t="str">
        <f aca="false">IF(A135="","",ROUND(B135*$I$11,2))</f>
        <v/>
      </c>
      <c r="D135" s="15" t="str">
        <f aca="false">IF(A135="","",IF(A135=$I$12,B135,IF($I$8="Amortissement constant",$I$14,$I$13-C135)))</f>
        <v/>
      </c>
      <c r="E135" s="15" t="str">
        <f aca="false">IF(A135="","",C135+D135)</f>
        <v/>
      </c>
      <c r="F135" s="15" t="str">
        <f aca="false">IF(A135="","",ROUND(B135-D135,2))</f>
        <v/>
      </c>
    </row>
    <row r="136" customFormat="false" ht="15" hidden="false" customHeight="false" outlineLevel="0" collapsed="false">
      <c r="A136" s="14" t="str">
        <f aca="false">IF(131&gt;$I$12,"",131)</f>
        <v/>
      </c>
      <c r="B136" s="15" t="str">
        <f aca="false">IF(A136="","",F135)</f>
        <v/>
      </c>
      <c r="C136" s="15" t="str">
        <f aca="false">IF(A136="","",ROUND(B136*$I$11,2))</f>
        <v/>
      </c>
      <c r="D136" s="15" t="str">
        <f aca="false">IF(A136="","",IF(A136=$I$12,B136,IF($I$8="Amortissement constant",$I$14,$I$13-C136)))</f>
        <v/>
      </c>
      <c r="E136" s="15" t="str">
        <f aca="false">IF(A136="","",C136+D136)</f>
        <v/>
      </c>
      <c r="F136" s="15" t="str">
        <f aca="false">IF(A136="","",ROUND(B136-D136,2))</f>
        <v/>
      </c>
    </row>
    <row r="137" customFormat="false" ht="15" hidden="false" customHeight="false" outlineLevel="0" collapsed="false">
      <c r="A137" s="14" t="str">
        <f aca="false">IF(132&gt;$I$12,"",132)</f>
        <v/>
      </c>
      <c r="B137" s="15" t="str">
        <f aca="false">IF(A137="","",F136)</f>
        <v/>
      </c>
      <c r="C137" s="15" t="str">
        <f aca="false">IF(A137="","",ROUND(B137*$I$11,2))</f>
        <v/>
      </c>
      <c r="D137" s="15" t="str">
        <f aca="false">IF(A137="","",IF(A137=$I$12,B137,IF($I$8="Amortissement constant",$I$14,$I$13-C137)))</f>
        <v/>
      </c>
      <c r="E137" s="15" t="str">
        <f aca="false">IF(A137="","",C137+D137)</f>
        <v/>
      </c>
      <c r="F137" s="15" t="str">
        <f aca="false">IF(A137="","",ROUND(B137-D137,2))</f>
        <v/>
      </c>
    </row>
    <row r="138" customFormat="false" ht="15" hidden="false" customHeight="false" outlineLevel="0" collapsed="false">
      <c r="A138" s="14" t="str">
        <f aca="false">IF(133&gt;$I$12,"",133)</f>
        <v/>
      </c>
      <c r="B138" s="15" t="str">
        <f aca="false">IF(A138="","",F137)</f>
        <v/>
      </c>
      <c r="C138" s="15" t="str">
        <f aca="false">IF(A138="","",ROUND(B138*$I$11,2))</f>
        <v/>
      </c>
      <c r="D138" s="15" t="str">
        <f aca="false">IF(A138="","",IF(A138=$I$12,B138,IF($I$8="Amortissement constant",$I$14,$I$13-C138)))</f>
        <v/>
      </c>
      <c r="E138" s="15" t="str">
        <f aca="false">IF(A138="","",C138+D138)</f>
        <v/>
      </c>
      <c r="F138" s="15" t="str">
        <f aca="false">IF(A138="","",ROUND(B138-D138,2))</f>
        <v/>
      </c>
    </row>
    <row r="139" customFormat="false" ht="15" hidden="false" customHeight="false" outlineLevel="0" collapsed="false">
      <c r="A139" s="14" t="str">
        <f aca="false">IF(134&gt;$I$12,"",134)</f>
        <v/>
      </c>
      <c r="B139" s="15" t="str">
        <f aca="false">IF(A139="","",F138)</f>
        <v/>
      </c>
      <c r="C139" s="15" t="str">
        <f aca="false">IF(A139="","",ROUND(B139*$I$11,2))</f>
        <v/>
      </c>
      <c r="D139" s="15" t="str">
        <f aca="false">IF(A139="","",IF(A139=$I$12,B139,IF($I$8="Amortissement constant",$I$14,$I$13-C139)))</f>
        <v/>
      </c>
      <c r="E139" s="15" t="str">
        <f aca="false">IF(A139="","",C139+D139)</f>
        <v/>
      </c>
      <c r="F139" s="15" t="str">
        <f aca="false">IF(A139="","",ROUND(B139-D139,2))</f>
        <v/>
      </c>
    </row>
    <row r="140" customFormat="false" ht="15" hidden="false" customHeight="false" outlineLevel="0" collapsed="false">
      <c r="A140" s="14" t="str">
        <f aca="false">IF(135&gt;$I$12,"",135)</f>
        <v/>
      </c>
      <c r="B140" s="15" t="str">
        <f aca="false">IF(A140="","",F139)</f>
        <v/>
      </c>
      <c r="C140" s="15" t="str">
        <f aca="false">IF(A140="","",ROUND(B140*$I$11,2))</f>
        <v/>
      </c>
      <c r="D140" s="15" t="str">
        <f aca="false">IF(A140="","",IF(A140=$I$12,B140,IF($I$8="Amortissement constant",$I$14,$I$13-C140)))</f>
        <v/>
      </c>
      <c r="E140" s="15" t="str">
        <f aca="false">IF(A140="","",C140+D140)</f>
        <v/>
      </c>
      <c r="F140" s="15" t="str">
        <f aca="false">IF(A140="","",ROUND(B140-D140,2))</f>
        <v/>
      </c>
    </row>
    <row r="141" customFormat="false" ht="15" hidden="false" customHeight="false" outlineLevel="0" collapsed="false">
      <c r="A141" s="14" t="str">
        <f aca="false">IF(136&gt;$I$12,"",136)</f>
        <v/>
      </c>
      <c r="B141" s="15" t="str">
        <f aca="false">IF(A141="","",F140)</f>
        <v/>
      </c>
      <c r="C141" s="15" t="str">
        <f aca="false">IF(A141="","",ROUND(B141*$I$11,2))</f>
        <v/>
      </c>
      <c r="D141" s="15" t="str">
        <f aca="false">IF(A141="","",IF(A141=$I$12,B141,IF($I$8="Amortissement constant",$I$14,$I$13-C141)))</f>
        <v/>
      </c>
      <c r="E141" s="15" t="str">
        <f aca="false">IF(A141="","",C141+D141)</f>
        <v/>
      </c>
      <c r="F141" s="15" t="str">
        <f aca="false">IF(A141="","",ROUND(B141-D141,2))</f>
        <v/>
      </c>
    </row>
    <row r="142" customFormat="false" ht="15" hidden="false" customHeight="false" outlineLevel="0" collapsed="false">
      <c r="A142" s="14" t="str">
        <f aca="false">IF(137&gt;$I$12,"",137)</f>
        <v/>
      </c>
      <c r="B142" s="15" t="str">
        <f aca="false">IF(A142="","",F141)</f>
        <v/>
      </c>
      <c r="C142" s="15" t="str">
        <f aca="false">IF(A142="","",ROUND(B142*$I$11,2))</f>
        <v/>
      </c>
      <c r="D142" s="15" t="str">
        <f aca="false">IF(A142="","",IF(A142=$I$12,B142,IF($I$8="Amortissement constant",$I$14,$I$13-C142)))</f>
        <v/>
      </c>
      <c r="E142" s="15" t="str">
        <f aca="false">IF(A142="","",C142+D142)</f>
        <v/>
      </c>
      <c r="F142" s="15" t="str">
        <f aca="false">IF(A142="","",ROUND(B142-D142,2))</f>
        <v/>
      </c>
    </row>
    <row r="143" customFormat="false" ht="15" hidden="false" customHeight="false" outlineLevel="0" collapsed="false">
      <c r="A143" s="14" t="str">
        <f aca="false">IF(138&gt;$I$12,"",138)</f>
        <v/>
      </c>
      <c r="B143" s="15" t="str">
        <f aca="false">IF(A143="","",F142)</f>
        <v/>
      </c>
      <c r="C143" s="15" t="str">
        <f aca="false">IF(A143="","",ROUND(B143*$I$11,2))</f>
        <v/>
      </c>
      <c r="D143" s="15" t="str">
        <f aca="false">IF(A143="","",IF(A143=$I$12,B143,IF($I$8="Amortissement constant",$I$14,$I$13-C143)))</f>
        <v/>
      </c>
      <c r="E143" s="15" t="str">
        <f aca="false">IF(A143="","",C143+D143)</f>
        <v/>
      </c>
      <c r="F143" s="15" t="str">
        <f aca="false">IF(A143="","",ROUND(B143-D143,2))</f>
        <v/>
      </c>
    </row>
    <row r="144" customFormat="false" ht="15" hidden="false" customHeight="false" outlineLevel="0" collapsed="false">
      <c r="A144" s="14" t="str">
        <f aca="false">IF(139&gt;$I$12,"",139)</f>
        <v/>
      </c>
      <c r="B144" s="15" t="str">
        <f aca="false">IF(A144="","",F143)</f>
        <v/>
      </c>
      <c r="C144" s="15" t="str">
        <f aca="false">IF(A144="","",ROUND(B144*$I$11,2))</f>
        <v/>
      </c>
      <c r="D144" s="15" t="str">
        <f aca="false">IF(A144="","",IF(A144=$I$12,B144,IF($I$8="Amortissement constant",$I$14,$I$13-C144)))</f>
        <v/>
      </c>
      <c r="E144" s="15" t="str">
        <f aca="false">IF(A144="","",C144+D144)</f>
        <v/>
      </c>
      <c r="F144" s="15" t="str">
        <f aca="false">IF(A144="","",ROUND(B144-D144,2))</f>
        <v/>
      </c>
    </row>
    <row r="145" customFormat="false" ht="15" hidden="false" customHeight="false" outlineLevel="0" collapsed="false">
      <c r="A145" s="14" t="str">
        <f aca="false">IF(140&gt;$I$12,"",140)</f>
        <v/>
      </c>
      <c r="B145" s="15" t="str">
        <f aca="false">IF(A145="","",F144)</f>
        <v/>
      </c>
      <c r="C145" s="15" t="str">
        <f aca="false">IF(A145="","",ROUND(B145*$I$11,2))</f>
        <v/>
      </c>
      <c r="D145" s="15" t="str">
        <f aca="false">IF(A145="","",IF(A145=$I$12,B145,IF($I$8="Amortissement constant",$I$14,$I$13-C145)))</f>
        <v/>
      </c>
      <c r="E145" s="15" t="str">
        <f aca="false">IF(A145="","",C145+D145)</f>
        <v/>
      </c>
      <c r="F145" s="15" t="str">
        <f aca="false">IF(A145="","",ROUND(B145-D145,2))</f>
        <v/>
      </c>
    </row>
    <row r="146" customFormat="false" ht="15" hidden="false" customHeight="false" outlineLevel="0" collapsed="false">
      <c r="A146" s="14" t="str">
        <f aca="false">IF(141&gt;$I$12,"",141)</f>
        <v/>
      </c>
      <c r="B146" s="15" t="str">
        <f aca="false">IF(A146="","",F145)</f>
        <v/>
      </c>
      <c r="C146" s="15" t="str">
        <f aca="false">IF(A146="","",ROUND(B146*$I$11,2))</f>
        <v/>
      </c>
      <c r="D146" s="15" t="str">
        <f aca="false">IF(A146="","",IF(A146=$I$12,B146,IF($I$8="Amortissement constant",$I$14,$I$13-C146)))</f>
        <v/>
      </c>
      <c r="E146" s="15" t="str">
        <f aca="false">IF(A146="","",C146+D146)</f>
        <v/>
      </c>
      <c r="F146" s="15" t="str">
        <f aca="false">IF(A146="","",ROUND(B146-D146,2))</f>
        <v/>
      </c>
    </row>
    <row r="147" customFormat="false" ht="15" hidden="false" customHeight="false" outlineLevel="0" collapsed="false">
      <c r="A147" s="14" t="str">
        <f aca="false">IF(142&gt;$I$12,"",142)</f>
        <v/>
      </c>
      <c r="B147" s="15" t="str">
        <f aca="false">IF(A147="","",F146)</f>
        <v/>
      </c>
      <c r="C147" s="15" t="str">
        <f aca="false">IF(A147="","",ROUND(B147*$I$11,2))</f>
        <v/>
      </c>
      <c r="D147" s="15" t="str">
        <f aca="false">IF(A147="","",IF(A147=$I$12,B147,IF($I$8="Amortissement constant",$I$14,$I$13-C147)))</f>
        <v/>
      </c>
      <c r="E147" s="15" t="str">
        <f aca="false">IF(A147="","",C147+D147)</f>
        <v/>
      </c>
      <c r="F147" s="15" t="str">
        <f aca="false">IF(A147="","",ROUND(B147-D147,2))</f>
        <v/>
      </c>
    </row>
    <row r="148" customFormat="false" ht="15" hidden="false" customHeight="false" outlineLevel="0" collapsed="false">
      <c r="A148" s="14" t="str">
        <f aca="false">IF(143&gt;$I$12,"",143)</f>
        <v/>
      </c>
      <c r="B148" s="15" t="str">
        <f aca="false">IF(A148="","",F147)</f>
        <v/>
      </c>
      <c r="C148" s="15" t="str">
        <f aca="false">IF(A148="","",ROUND(B148*$I$11,2))</f>
        <v/>
      </c>
      <c r="D148" s="15" t="str">
        <f aca="false">IF(A148="","",IF(A148=$I$12,B148,IF($I$8="Amortissement constant",$I$14,$I$13-C148)))</f>
        <v/>
      </c>
      <c r="E148" s="15" t="str">
        <f aca="false">IF(A148="","",C148+D148)</f>
        <v/>
      </c>
      <c r="F148" s="15" t="str">
        <f aca="false">IF(A148="","",ROUND(B148-D148,2))</f>
        <v/>
      </c>
    </row>
    <row r="149" customFormat="false" ht="15" hidden="false" customHeight="false" outlineLevel="0" collapsed="false">
      <c r="A149" s="14" t="str">
        <f aca="false">IF(144&gt;$I$12,"",144)</f>
        <v/>
      </c>
      <c r="B149" s="15" t="str">
        <f aca="false">IF(A149="","",F148)</f>
        <v/>
      </c>
      <c r="C149" s="15" t="str">
        <f aca="false">IF(A149="","",ROUND(B149*$I$11,2))</f>
        <v/>
      </c>
      <c r="D149" s="15" t="str">
        <f aca="false">IF(A149="","",IF(A149=$I$12,B149,IF($I$8="Amortissement constant",$I$14,$I$13-C149)))</f>
        <v/>
      </c>
      <c r="E149" s="15" t="str">
        <f aca="false">IF(A149="","",C149+D149)</f>
        <v/>
      </c>
      <c r="F149" s="15" t="str">
        <f aca="false">IF(A149="","",ROUND(B149-D149,2))</f>
        <v/>
      </c>
    </row>
    <row r="150" customFormat="false" ht="15" hidden="false" customHeight="false" outlineLevel="0" collapsed="false">
      <c r="A150" s="14" t="str">
        <f aca="false">IF(145&gt;$I$12,"",145)</f>
        <v/>
      </c>
      <c r="B150" s="15" t="str">
        <f aca="false">IF(A150="","",F149)</f>
        <v/>
      </c>
      <c r="C150" s="15" t="str">
        <f aca="false">IF(A150="","",ROUND(B150*$I$11,2))</f>
        <v/>
      </c>
      <c r="D150" s="15" t="str">
        <f aca="false">IF(A150="","",IF(A150=$I$12,B150,IF($I$8="Amortissement constant",$I$14,$I$13-C150)))</f>
        <v/>
      </c>
      <c r="E150" s="15" t="str">
        <f aca="false">IF(A150="","",C150+D150)</f>
        <v/>
      </c>
      <c r="F150" s="15" t="str">
        <f aca="false">IF(A150="","",ROUND(B150-D150,2))</f>
        <v/>
      </c>
    </row>
    <row r="151" customFormat="false" ht="15" hidden="false" customHeight="false" outlineLevel="0" collapsed="false">
      <c r="A151" s="14" t="str">
        <f aca="false">IF(146&gt;$I$12,"",146)</f>
        <v/>
      </c>
      <c r="B151" s="15" t="str">
        <f aca="false">IF(A151="","",F150)</f>
        <v/>
      </c>
      <c r="C151" s="15" t="str">
        <f aca="false">IF(A151="","",ROUND(B151*$I$11,2))</f>
        <v/>
      </c>
      <c r="D151" s="15" t="str">
        <f aca="false">IF(A151="","",IF(A151=$I$12,B151,IF($I$8="Amortissement constant",$I$14,$I$13-C151)))</f>
        <v/>
      </c>
      <c r="E151" s="15" t="str">
        <f aca="false">IF(A151="","",C151+D151)</f>
        <v/>
      </c>
      <c r="F151" s="15" t="str">
        <f aca="false">IF(A151="","",ROUND(B151-D151,2))</f>
        <v/>
      </c>
    </row>
    <row r="152" customFormat="false" ht="15" hidden="false" customHeight="false" outlineLevel="0" collapsed="false">
      <c r="A152" s="14" t="str">
        <f aca="false">IF(147&gt;$I$12,"",147)</f>
        <v/>
      </c>
      <c r="B152" s="15" t="str">
        <f aca="false">IF(A152="","",F151)</f>
        <v/>
      </c>
      <c r="C152" s="15" t="str">
        <f aca="false">IF(A152="","",ROUND(B152*$I$11,2))</f>
        <v/>
      </c>
      <c r="D152" s="15" t="str">
        <f aca="false">IF(A152="","",IF(A152=$I$12,B152,IF($I$8="Amortissement constant",$I$14,$I$13-C152)))</f>
        <v/>
      </c>
      <c r="E152" s="15" t="str">
        <f aca="false">IF(A152="","",C152+D152)</f>
        <v/>
      </c>
      <c r="F152" s="15" t="str">
        <f aca="false">IF(A152="","",ROUND(B152-D152,2))</f>
        <v/>
      </c>
    </row>
    <row r="153" customFormat="false" ht="15" hidden="false" customHeight="false" outlineLevel="0" collapsed="false">
      <c r="A153" s="14" t="str">
        <f aca="false">IF(148&gt;$I$12,"",148)</f>
        <v/>
      </c>
      <c r="B153" s="15" t="str">
        <f aca="false">IF(A153="","",F152)</f>
        <v/>
      </c>
      <c r="C153" s="15" t="str">
        <f aca="false">IF(A153="","",ROUND(B153*$I$11,2))</f>
        <v/>
      </c>
      <c r="D153" s="15" t="str">
        <f aca="false">IF(A153="","",IF(A153=$I$12,B153,IF($I$8="Amortissement constant",$I$14,$I$13-C153)))</f>
        <v/>
      </c>
      <c r="E153" s="15" t="str">
        <f aca="false">IF(A153="","",C153+D153)</f>
        <v/>
      </c>
      <c r="F153" s="15" t="str">
        <f aca="false">IF(A153="","",ROUND(B153-D153,2))</f>
        <v/>
      </c>
    </row>
    <row r="154" customFormat="false" ht="15" hidden="false" customHeight="false" outlineLevel="0" collapsed="false">
      <c r="A154" s="14" t="str">
        <f aca="false">IF(149&gt;$I$12,"",149)</f>
        <v/>
      </c>
      <c r="B154" s="15" t="str">
        <f aca="false">IF(A154="","",F153)</f>
        <v/>
      </c>
      <c r="C154" s="15" t="str">
        <f aca="false">IF(A154="","",ROUND(B154*$I$11,2))</f>
        <v/>
      </c>
      <c r="D154" s="15" t="str">
        <f aca="false">IF(A154="","",IF(A154=$I$12,B154,IF($I$8="Amortissement constant",$I$14,$I$13-C154)))</f>
        <v/>
      </c>
      <c r="E154" s="15" t="str">
        <f aca="false">IF(A154="","",C154+D154)</f>
        <v/>
      </c>
      <c r="F154" s="15" t="str">
        <f aca="false">IF(A154="","",ROUND(B154-D154,2))</f>
        <v/>
      </c>
    </row>
    <row r="155" customFormat="false" ht="15" hidden="false" customHeight="false" outlineLevel="0" collapsed="false">
      <c r="A155" s="14" t="str">
        <f aca="false">IF(150&gt;$I$12,"",150)</f>
        <v/>
      </c>
      <c r="B155" s="15" t="str">
        <f aca="false">IF(A155="","",F154)</f>
        <v/>
      </c>
      <c r="C155" s="15" t="str">
        <f aca="false">IF(A155="","",ROUND(B155*$I$11,2))</f>
        <v/>
      </c>
      <c r="D155" s="15" t="str">
        <f aca="false">IF(A155="","",IF(A155=$I$12,B155,IF($I$8="Amortissement constant",$I$14,$I$13-C155)))</f>
        <v/>
      </c>
      <c r="E155" s="15" t="str">
        <f aca="false">IF(A155="","",C155+D155)</f>
        <v/>
      </c>
      <c r="F155" s="15" t="str">
        <f aca="false">IF(A155="","",ROUND(B155-D155,2))</f>
        <v/>
      </c>
    </row>
    <row r="156" customFormat="false" ht="15" hidden="false" customHeight="false" outlineLevel="0" collapsed="false">
      <c r="A156" s="14" t="str">
        <f aca="false">IF(151&gt;$I$12,"",151)</f>
        <v/>
      </c>
      <c r="B156" s="15" t="str">
        <f aca="false">IF(A156="","",F155)</f>
        <v/>
      </c>
      <c r="C156" s="15" t="str">
        <f aca="false">IF(A156="","",ROUND(B156*$I$11,2))</f>
        <v/>
      </c>
      <c r="D156" s="15" t="str">
        <f aca="false">IF(A156="","",IF(A156=$I$12,B156,IF($I$8="Amortissement constant",$I$14,$I$13-C156)))</f>
        <v/>
      </c>
      <c r="E156" s="15" t="str">
        <f aca="false">IF(A156="","",C156+D156)</f>
        <v/>
      </c>
      <c r="F156" s="15" t="str">
        <f aca="false">IF(A156="","",ROUND(B156-D156,2))</f>
        <v/>
      </c>
    </row>
    <row r="157" customFormat="false" ht="15" hidden="false" customHeight="false" outlineLevel="0" collapsed="false">
      <c r="A157" s="14" t="str">
        <f aca="false">IF(152&gt;$I$12,"",152)</f>
        <v/>
      </c>
      <c r="B157" s="15" t="str">
        <f aca="false">IF(A157="","",F156)</f>
        <v/>
      </c>
      <c r="C157" s="15" t="str">
        <f aca="false">IF(A157="","",ROUND(B157*$I$11,2))</f>
        <v/>
      </c>
      <c r="D157" s="15" t="str">
        <f aca="false">IF(A157="","",IF(A157=$I$12,B157,IF($I$8="Amortissement constant",$I$14,$I$13-C157)))</f>
        <v/>
      </c>
      <c r="E157" s="15" t="str">
        <f aca="false">IF(A157="","",C157+D157)</f>
        <v/>
      </c>
      <c r="F157" s="15" t="str">
        <f aca="false">IF(A157="","",ROUND(B157-D157,2))</f>
        <v/>
      </c>
    </row>
    <row r="158" customFormat="false" ht="15" hidden="false" customHeight="false" outlineLevel="0" collapsed="false">
      <c r="A158" s="14" t="str">
        <f aca="false">IF(153&gt;$I$12,"",153)</f>
        <v/>
      </c>
      <c r="B158" s="15" t="str">
        <f aca="false">IF(A158="","",F157)</f>
        <v/>
      </c>
      <c r="C158" s="15" t="str">
        <f aca="false">IF(A158="","",ROUND(B158*$I$11,2))</f>
        <v/>
      </c>
      <c r="D158" s="15" t="str">
        <f aca="false">IF(A158="","",IF(A158=$I$12,B158,IF($I$8="Amortissement constant",$I$14,$I$13-C158)))</f>
        <v/>
      </c>
      <c r="E158" s="15" t="str">
        <f aca="false">IF(A158="","",C158+D158)</f>
        <v/>
      </c>
      <c r="F158" s="15" t="str">
        <f aca="false">IF(A158="","",ROUND(B158-D158,2))</f>
        <v/>
      </c>
    </row>
    <row r="159" customFormat="false" ht="15" hidden="false" customHeight="false" outlineLevel="0" collapsed="false">
      <c r="A159" s="14" t="str">
        <f aca="false">IF(154&gt;$I$12,"",154)</f>
        <v/>
      </c>
      <c r="B159" s="15" t="str">
        <f aca="false">IF(A159="","",F158)</f>
        <v/>
      </c>
      <c r="C159" s="15" t="str">
        <f aca="false">IF(A159="","",ROUND(B159*$I$11,2))</f>
        <v/>
      </c>
      <c r="D159" s="15" t="str">
        <f aca="false">IF(A159="","",IF(A159=$I$12,B159,IF($I$8="Amortissement constant",$I$14,$I$13-C159)))</f>
        <v/>
      </c>
      <c r="E159" s="15" t="str">
        <f aca="false">IF(A159="","",C159+D159)</f>
        <v/>
      </c>
      <c r="F159" s="15" t="str">
        <f aca="false">IF(A159="","",ROUND(B159-D159,2))</f>
        <v/>
      </c>
    </row>
    <row r="160" customFormat="false" ht="15" hidden="false" customHeight="false" outlineLevel="0" collapsed="false">
      <c r="A160" s="14" t="str">
        <f aca="false">IF(155&gt;$I$12,"",155)</f>
        <v/>
      </c>
      <c r="B160" s="15" t="str">
        <f aca="false">IF(A160="","",F159)</f>
        <v/>
      </c>
      <c r="C160" s="15" t="str">
        <f aca="false">IF(A160="","",ROUND(B160*$I$11,2))</f>
        <v/>
      </c>
      <c r="D160" s="15" t="str">
        <f aca="false">IF(A160="","",IF(A160=$I$12,B160,IF($I$8="Amortissement constant",$I$14,$I$13-C160)))</f>
        <v/>
      </c>
      <c r="E160" s="15" t="str">
        <f aca="false">IF(A160="","",C160+D160)</f>
        <v/>
      </c>
      <c r="F160" s="15" t="str">
        <f aca="false">IF(A160="","",ROUND(B160-D160,2))</f>
        <v/>
      </c>
    </row>
    <row r="161" customFormat="false" ht="15" hidden="false" customHeight="false" outlineLevel="0" collapsed="false">
      <c r="A161" s="14" t="str">
        <f aca="false">IF(156&gt;$I$12,"",156)</f>
        <v/>
      </c>
      <c r="B161" s="15" t="str">
        <f aca="false">IF(A161="","",F160)</f>
        <v/>
      </c>
      <c r="C161" s="15" t="str">
        <f aca="false">IF(A161="","",ROUND(B161*$I$11,2))</f>
        <v/>
      </c>
      <c r="D161" s="15" t="str">
        <f aca="false">IF(A161="","",IF(A161=$I$12,B161,IF($I$8="Amortissement constant",$I$14,$I$13-C161)))</f>
        <v/>
      </c>
      <c r="E161" s="15" t="str">
        <f aca="false">IF(A161="","",C161+D161)</f>
        <v/>
      </c>
      <c r="F161" s="15" t="str">
        <f aca="false">IF(A161="","",ROUND(B161-D161,2))</f>
        <v/>
      </c>
    </row>
    <row r="162" customFormat="false" ht="15" hidden="false" customHeight="false" outlineLevel="0" collapsed="false">
      <c r="A162" s="14" t="str">
        <f aca="false">IF(157&gt;$I$12,"",157)</f>
        <v/>
      </c>
      <c r="B162" s="15" t="str">
        <f aca="false">IF(A162="","",F161)</f>
        <v/>
      </c>
      <c r="C162" s="15" t="str">
        <f aca="false">IF(A162="","",ROUND(B162*$I$11,2))</f>
        <v/>
      </c>
      <c r="D162" s="15" t="str">
        <f aca="false">IF(A162="","",IF(A162=$I$12,B162,IF($I$8="Amortissement constant",$I$14,$I$13-C162)))</f>
        <v/>
      </c>
      <c r="E162" s="15" t="str">
        <f aca="false">IF(A162="","",C162+D162)</f>
        <v/>
      </c>
      <c r="F162" s="15" t="str">
        <f aca="false">IF(A162="","",ROUND(B162-D162,2))</f>
        <v/>
      </c>
    </row>
    <row r="163" customFormat="false" ht="15" hidden="false" customHeight="false" outlineLevel="0" collapsed="false">
      <c r="A163" s="14" t="str">
        <f aca="false">IF(158&gt;$I$12,"",158)</f>
        <v/>
      </c>
      <c r="B163" s="15" t="str">
        <f aca="false">IF(A163="","",F162)</f>
        <v/>
      </c>
      <c r="C163" s="15" t="str">
        <f aca="false">IF(A163="","",ROUND(B163*$I$11,2))</f>
        <v/>
      </c>
      <c r="D163" s="15" t="str">
        <f aca="false">IF(A163="","",IF(A163=$I$12,B163,IF($I$8="Amortissement constant",$I$14,$I$13-C163)))</f>
        <v/>
      </c>
      <c r="E163" s="15" t="str">
        <f aca="false">IF(A163="","",C163+D163)</f>
        <v/>
      </c>
      <c r="F163" s="15" t="str">
        <f aca="false">IF(A163="","",ROUND(B163-D163,2))</f>
        <v/>
      </c>
    </row>
    <row r="164" customFormat="false" ht="15" hidden="false" customHeight="false" outlineLevel="0" collapsed="false">
      <c r="A164" s="14" t="str">
        <f aca="false">IF(159&gt;$I$12,"",159)</f>
        <v/>
      </c>
      <c r="B164" s="15" t="str">
        <f aca="false">IF(A164="","",F163)</f>
        <v/>
      </c>
      <c r="C164" s="15" t="str">
        <f aca="false">IF(A164="","",ROUND(B164*$I$11,2))</f>
        <v/>
      </c>
      <c r="D164" s="15" t="str">
        <f aca="false">IF(A164="","",IF(A164=$I$12,B164,IF($I$8="Amortissement constant",$I$14,$I$13-C164)))</f>
        <v/>
      </c>
      <c r="E164" s="15" t="str">
        <f aca="false">IF(A164="","",C164+D164)</f>
        <v/>
      </c>
      <c r="F164" s="15" t="str">
        <f aca="false">IF(A164="","",ROUND(B164-D164,2))</f>
        <v/>
      </c>
    </row>
    <row r="165" customFormat="false" ht="15" hidden="false" customHeight="false" outlineLevel="0" collapsed="false">
      <c r="A165" s="14" t="str">
        <f aca="false">IF(160&gt;$I$12,"",160)</f>
        <v/>
      </c>
      <c r="B165" s="15" t="str">
        <f aca="false">IF(A165="","",F164)</f>
        <v/>
      </c>
      <c r="C165" s="15" t="str">
        <f aca="false">IF(A165="","",ROUND(B165*$I$11,2))</f>
        <v/>
      </c>
      <c r="D165" s="15" t="str">
        <f aca="false">IF(A165="","",IF(A165=$I$12,B165,IF($I$8="Amortissement constant",$I$14,$I$13-C165)))</f>
        <v/>
      </c>
      <c r="E165" s="15" t="str">
        <f aca="false">IF(A165="","",C165+D165)</f>
        <v/>
      </c>
      <c r="F165" s="15" t="str">
        <f aca="false">IF(A165="","",ROUND(B165-D165,2))</f>
        <v/>
      </c>
    </row>
    <row r="166" customFormat="false" ht="15" hidden="false" customHeight="false" outlineLevel="0" collapsed="false">
      <c r="A166" s="14" t="str">
        <f aca="false">IF(161&gt;$I$12,"",161)</f>
        <v/>
      </c>
      <c r="B166" s="15" t="str">
        <f aca="false">IF(A166="","",F165)</f>
        <v/>
      </c>
      <c r="C166" s="15" t="str">
        <f aca="false">IF(A166="","",ROUND(B166*$I$11,2))</f>
        <v/>
      </c>
      <c r="D166" s="15" t="str">
        <f aca="false">IF(A166="","",IF(A166=$I$12,B166,IF($I$8="Amortissement constant",$I$14,$I$13-C166)))</f>
        <v/>
      </c>
      <c r="E166" s="15" t="str">
        <f aca="false">IF(A166="","",C166+D166)</f>
        <v/>
      </c>
      <c r="F166" s="15" t="str">
        <f aca="false">IF(A166="","",ROUND(B166-D166,2))</f>
        <v/>
      </c>
    </row>
    <row r="167" customFormat="false" ht="15" hidden="false" customHeight="false" outlineLevel="0" collapsed="false">
      <c r="A167" s="14" t="str">
        <f aca="false">IF(162&gt;$I$12,"",162)</f>
        <v/>
      </c>
      <c r="B167" s="15" t="str">
        <f aca="false">IF(A167="","",F166)</f>
        <v/>
      </c>
      <c r="C167" s="15" t="str">
        <f aca="false">IF(A167="","",ROUND(B167*$I$11,2))</f>
        <v/>
      </c>
      <c r="D167" s="15" t="str">
        <f aca="false">IF(A167="","",IF(A167=$I$12,B167,IF($I$8="Amortissement constant",$I$14,$I$13-C167)))</f>
        <v/>
      </c>
      <c r="E167" s="15" t="str">
        <f aca="false">IF(A167="","",C167+D167)</f>
        <v/>
      </c>
      <c r="F167" s="15" t="str">
        <f aca="false">IF(A167="","",ROUND(B167-D167,2))</f>
        <v/>
      </c>
    </row>
    <row r="168" customFormat="false" ht="15" hidden="false" customHeight="false" outlineLevel="0" collapsed="false">
      <c r="A168" s="14" t="str">
        <f aca="false">IF(163&gt;$I$12,"",163)</f>
        <v/>
      </c>
      <c r="B168" s="15" t="str">
        <f aca="false">IF(A168="","",F167)</f>
        <v/>
      </c>
      <c r="C168" s="15" t="str">
        <f aca="false">IF(A168="","",ROUND(B168*$I$11,2))</f>
        <v/>
      </c>
      <c r="D168" s="15" t="str">
        <f aca="false">IF(A168="","",IF(A168=$I$12,B168,IF($I$8="Amortissement constant",$I$14,$I$13-C168)))</f>
        <v/>
      </c>
      <c r="E168" s="15" t="str">
        <f aca="false">IF(A168="","",C168+D168)</f>
        <v/>
      </c>
      <c r="F168" s="15" t="str">
        <f aca="false">IF(A168="","",ROUND(B168-D168,2))</f>
        <v/>
      </c>
    </row>
    <row r="169" customFormat="false" ht="15" hidden="false" customHeight="false" outlineLevel="0" collapsed="false">
      <c r="A169" s="14" t="str">
        <f aca="false">IF(164&gt;$I$12,"",164)</f>
        <v/>
      </c>
      <c r="B169" s="15" t="str">
        <f aca="false">IF(A169="","",F168)</f>
        <v/>
      </c>
      <c r="C169" s="15" t="str">
        <f aca="false">IF(A169="","",ROUND(B169*$I$11,2))</f>
        <v/>
      </c>
      <c r="D169" s="15" t="str">
        <f aca="false">IF(A169="","",IF(A169=$I$12,B169,IF($I$8="Amortissement constant",$I$14,$I$13-C169)))</f>
        <v/>
      </c>
      <c r="E169" s="15" t="str">
        <f aca="false">IF(A169="","",C169+D169)</f>
        <v/>
      </c>
      <c r="F169" s="15" t="str">
        <f aca="false">IF(A169="","",ROUND(B169-D169,2))</f>
        <v/>
      </c>
    </row>
    <row r="170" customFormat="false" ht="15" hidden="false" customHeight="false" outlineLevel="0" collapsed="false">
      <c r="A170" s="14" t="str">
        <f aca="false">IF(165&gt;$I$12,"",165)</f>
        <v/>
      </c>
      <c r="B170" s="15" t="str">
        <f aca="false">IF(A170="","",F169)</f>
        <v/>
      </c>
      <c r="C170" s="15" t="str">
        <f aca="false">IF(A170="","",ROUND(B170*$I$11,2))</f>
        <v/>
      </c>
      <c r="D170" s="15" t="str">
        <f aca="false">IF(A170="","",IF(A170=$I$12,B170,IF($I$8="Amortissement constant",$I$14,$I$13-C170)))</f>
        <v/>
      </c>
      <c r="E170" s="15" t="str">
        <f aca="false">IF(A170="","",C170+D170)</f>
        <v/>
      </c>
      <c r="F170" s="15" t="str">
        <f aca="false">IF(A170="","",ROUND(B170-D170,2))</f>
        <v/>
      </c>
    </row>
    <row r="171" customFormat="false" ht="15" hidden="false" customHeight="false" outlineLevel="0" collapsed="false">
      <c r="A171" s="14" t="str">
        <f aca="false">IF(166&gt;$I$12,"",166)</f>
        <v/>
      </c>
      <c r="B171" s="15" t="str">
        <f aca="false">IF(A171="","",F170)</f>
        <v/>
      </c>
      <c r="C171" s="15" t="str">
        <f aca="false">IF(A171="","",ROUND(B171*$I$11,2))</f>
        <v/>
      </c>
      <c r="D171" s="15" t="str">
        <f aca="false">IF(A171="","",IF(A171=$I$12,B171,IF($I$8="Amortissement constant",$I$14,$I$13-C171)))</f>
        <v/>
      </c>
      <c r="E171" s="15" t="str">
        <f aca="false">IF(A171="","",C171+D171)</f>
        <v/>
      </c>
      <c r="F171" s="15" t="str">
        <f aca="false">IF(A171="","",ROUND(B171-D171,2))</f>
        <v/>
      </c>
    </row>
    <row r="172" customFormat="false" ht="15" hidden="false" customHeight="false" outlineLevel="0" collapsed="false">
      <c r="A172" s="14" t="str">
        <f aca="false">IF(167&gt;$I$12,"",167)</f>
        <v/>
      </c>
      <c r="B172" s="15" t="str">
        <f aca="false">IF(A172="","",F171)</f>
        <v/>
      </c>
      <c r="C172" s="15" t="str">
        <f aca="false">IF(A172="","",ROUND(B172*$I$11,2))</f>
        <v/>
      </c>
      <c r="D172" s="15" t="str">
        <f aca="false">IF(A172="","",IF(A172=$I$12,B172,IF($I$8="Amortissement constant",$I$14,$I$13-C172)))</f>
        <v/>
      </c>
      <c r="E172" s="15" t="str">
        <f aca="false">IF(A172="","",C172+D172)</f>
        <v/>
      </c>
      <c r="F172" s="15" t="str">
        <f aca="false">IF(A172="","",ROUND(B172-D172,2))</f>
        <v/>
      </c>
    </row>
    <row r="173" customFormat="false" ht="15" hidden="false" customHeight="false" outlineLevel="0" collapsed="false">
      <c r="A173" s="14" t="str">
        <f aca="false">IF(168&gt;$I$12,"",168)</f>
        <v/>
      </c>
      <c r="B173" s="15" t="str">
        <f aca="false">IF(A173="","",F172)</f>
        <v/>
      </c>
      <c r="C173" s="15" t="str">
        <f aca="false">IF(A173="","",ROUND(B173*$I$11,2))</f>
        <v/>
      </c>
      <c r="D173" s="15" t="str">
        <f aca="false">IF(A173="","",IF(A173=$I$12,B173,IF($I$8="Amortissement constant",$I$14,$I$13-C173)))</f>
        <v/>
      </c>
      <c r="E173" s="15" t="str">
        <f aca="false">IF(A173="","",C173+D173)</f>
        <v/>
      </c>
      <c r="F173" s="15" t="str">
        <f aca="false">IF(A173="","",ROUND(B173-D173,2))</f>
        <v/>
      </c>
    </row>
    <row r="174" customFormat="false" ht="15" hidden="false" customHeight="false" outlineLevel="0" collapsed="false">
      <c r="A174" s="14" t="str">
        <f aca="false">IF(169&gt;$I$12,"",169)</f>
        <v/>
      </c>
      <c r="B174" s="15" t="str">
        <f aca="false">IF(A174="","",F173)</f>
        <v/>
      </c>
      <c r="C174" s="15" t="str">
        <f aca="false">IF(A174="","",ROUND(B174*$I$11,2))</f>
        <v/>
      </c>
      <c r="D174" s="15" t="str">
        <f aca="false">IF(A174="","",IF(A174=$I$12,B174,IF($I$8="Amortissement constant",$I$14,$I$13-C174)))</f>
        <v/>
      </c>
      <c r="E174" s="15" t="str">
        <f aca="false">IF(A174="","",C174+D174)</f>
        <v/>
      </c>
      <c r="F174" s="15" t="str">
        <f aca="false">IF(A174="","",ROUND(B174-D174,2))</f>
        <v/>
      </c>
    </row>
    <row r="175" customFormat="false" ht="15" hidden="false" customHeight="false" outlineLevel="0" collapsed="false">
      <c r="A175" s="14" t="str">
        <f aca="false">IF(170&gt;$I$12,"",170)</f>
        <v/>
      </c>
      <c r="B175" s="15" t="str">
        <f aca="false">IF(A175="","",F174)</f>
        <v/>
      </c>
      <c r="C175" s="15" t="str">
        <f aca="false">IF(A175="","",ROUND(B175*$I$11,2))</f>
        <v/>
      </c>
      <c r="D175" s="15" t="str">
        <f aca="false">IF(A175="","",IF(A175=$I$12,B175,IF($I$8="Amortissement constant",$I$14,$I$13-C175)))</f>
        <v/>
      </c>
      <c r="E175" s="15" t="str">
        <f aca="false">IF(A175="","",C175+D175)</f>
        <v/>
      </c>
      <c r="F175" s="15" t="str">
        <f aca="false">IF(A175="","",ROUND(B175-D175,2))</f>
        <v/>
      </c>
    </row>
    <row r="176" customFormat="false" ht="15" hidden="false" customHeight="false" outlineLevel="0" collapsed="false">
      <c r="A176" s="14" t="str">
        <f aca="false">IF(171&gt;$I$12,"",171)</f>
        <v/>
      </c>
      <c r="B176" s="15" t="str">
        <f aca="false">IF(A176="","",F175)</f>
        <v/>
      </c>
      <c r="C176" s="15" t="str">
        <f aca="false">IF(A176="","",ROUND(B176*$I$11,2))</f>
        <v/>
      </c>
      <c r="D176" s="15" t="str">
        <f aca="false">IF(A176="","",IF(A176=$I$12,B176,IF($I$8="Amortissement constant",$I$14,$I$13-C176)))</f>
        <v/>
      </c>
      <c r="E176" s="15" t="str">
        <f aca="false">IF(A176="","",C176+D176)</f>
        <v/>
      </c>
      <c r="F176" s="15" t="str">
        <f aca="false">IF(A176="","",ROUND(B176-D176,2))</f>
        <v/>
      </c>
    </row>
    <row r="177" customFormat="false" ht="15" hidden="false" customHeight="false" outlineLevel="0" collapsed="false">
      <c r="A177" s="14" t="str">
        <f aca="false">IF(172&gt;$I$12,"",172)</f>
        <v/>
      </c>
      <c r="B177" s="15" t="str">
        <f aca="false">IF(A177="","",F176)</f>
        <v/>
      </c>
      <c r="C177" s="15" t="str">
        <f aca="false">IF(A177="","",ROUND(B177*$I$11,2))</f>
        <v/>
      </c>
      <c r="D177" s="15" t="str">
        <f aca="false">IF(A177="","",IF(A177=$I$12,B177,IF($I$8="Amortissement constant",$I$14,$I$13-C177)))</f>
        <v/>
      </c>
      <c r="E177" s="15" t="str">
        <f aca="false">IF(A177="","",C177+D177)</f>
        <v/>
      </c>
      <c r="F177" s="15" t="str">
        <f aca="false">IF(A177="","",ROUND(B177-D177,2))</f>
        <v/>
      </c>
    </row>
    <row r="178" customFormat="false" ht="15" hidden="false" customHeight="false" outlineLevel="0" collapsed="false">
      <c r="A178" s="14" t="str">
        <f aca="false">IF(173&gt;$I$12,"",173)</f>
        <v/>
      </c>
      <c r="B178" s="15" t="str">
        <f aca="false">IF(A178="","",F177)</f>
        <v/>
      </c>
      <c r="C178" s="15" t="str">
        <f aca="false">IF(A178="","",ROUND(B178*$I$11,2))</f>
        <v/>
      </c>
      <c r="D178" s="15" t="str">
        <f aca="false">IF(A178="","",IF(A178=$I$12,B178,IF($I$8="Amortissement constant",$I$14,$I$13-C178)))</f>
        <v/>
      </c>
      <c r="E178" s="15" t="str">
        <f aca="false">IF(A178="","",C178+D178)</f>
        <v/>
      </c>
      <c r="F178" s="15" t="str">
        <f aca="false">IF(A178="","",ROUND(B178-D178,2))</f>
        <v/>
      </c>
    </row>
    <row r="179" customFormat="false" ht="15" hidden="false" customHeight="false" outlineLevel="0" collapsed="false">
      <c r="A179" s="14" t="str">
        <f aca="false">IF(174&gt;$I$12,"",174)</f>
        <v/>
      </c>
      <c r="B179" s="15" t="str">
        <f aca="false">IF(A179="","",F178)</f>
        <v/>
      </c>
      <c r="C179" s="15" t="str">
        <f aca="false">IF(A179="","",ROUND(B179*$I$11,2))</f>
        <v/>
      </c>
      <c r="D179" s="15" t="str">
        <f aca="false">IF(A179="","",IF(A179=$I$12,B179,IF($I$8="Amortissement constant",$I$14,$I$13-C179)))</f>
        <v/>
      </c>
      <c r="E179" s="15" t="str">
        <f aca="false">IF(A179="","",C179+D179)</f>
        <v/>
      </c>
      <c r="F179" s="15" t="str">
        <f aca="false">IF(A179="","",ROUND(B179-D179,2))</f>
        <v/>
      </c>
    </row>
    <row r="180" customFormat="false" ht="15" hidden="false" customHeight="false" outlineLevel="0" collapsed="false">
      <c r="A180" s="14" t="str">
        <f aca="false">IF(175&gt;$I$12,"",175)</f>
        <v/>
      </c>
      <c r="B180" s="15" t="str">
        <f aca="false">IF(A180="","",F179)</f>
        <v/>
      </c>
      <c r="C180" s="15" t="str">
        <f aca="false">IF(A180="","",ROUND(B180*$I$11,2))</f>
        <v/>
      </c>
      <c r="D180" s="15" t="str">
        <f aca="false">IF(A180="","",IF(A180=$I$12,B180,IF($I$8="Amortissement constant",$I$14,$I$13-C180)))</f>
        <v/>
      </c>
      <c r="E180" s="15" t="str">
        <f aca="false">IF(A180="","",C180+D180)</f>
        <v/>
      </c>
      <c r="F180" s="15" t="str">
        <f aca="false">IF(A180="","",ROUND(B180-D180,2))</f>
        <v/>
      </c>
    </row>
    <row r="181" customFormat="false" ht="15" hidden="false" customHeight="false" outlineLevel="0" collapsed="false">
      <c r="A181" s="14" t="str">
        <f aca="false">IF(176&gt;$I$12,"",176)</f>
        <v/>
      </c>
      <c r="B181" s="15" t="str">
        <f aca="false">IF(A181="","",F180)</f>
        <v/>
      </c>
      <c r="C181" s="15" t="str">
        <f aca="false">IF(A181="","",ROUND(B181*$I$11,2))</f>
        <v/>
      </c>
      <c r="D181" s="15" t="str">
        <f aca="false">IF(A181="","",IF(A181=$I$12,B181,IF($I$8="Amortissement constant",$I$14,$I$13-C181)))</f>
        <v/>
      </c>
      <c r="E181" s="15" t="str">
        <f aca="false">IF(A181="","",C181+D181)</f>
        <v/>
      </c>
      <c r="F181" s="15" t="str">
        <f aca="false">IF(A181="","",ROUND(B181-D181,2))</f>
        <v/>
      </c>
    </row>
    <row r="182" customFormat="false" ht="15" hidden="false" customHeight="false" outlineLevel="0" collapsed="false">
      <c r="A182" s="14" t="str">
        <f aca="false">IF(177&gt;$I$12,"",177)</f>
        <v/>
      </c>
      <c r="B182" s="15" t="str">
        <f aca="false">IF(A182="","",F181)</f>
        <v/>
      </c>
      <c r="C182" s="15" t="str">
        <f aca="false">IF(A182="","",ROUND(B182*$I$11,2))</f>
        <v/>
      </c>
      <c r="D182" s="15" t="str">
        <f aca="false">IF(A182="","",IF(A182=$I$12,B182,IF($I$8="Amortissement constant",$I$14,$I$13-C182)))</f>
        <v/>
      </c>
      <c r="E182" s="15" t="str">
        <f aca="false">IF(A182="","",C182+D182)</f>
        <v/>
      </c>
      <c r="F182" s="15" t="str">
        <f aca="false">IF(A182="","",ROUND(B182-D182,2))</f>
        <v/>
      </c>
    </row>
    <row r="183" customFormat="false" ht="15" hidden="false" customHeight="false" outlineLevel="0" collapsed="false">
      <c r="A183" s="14" t="str">
        <f aca="false">IF(178&gt;$I$12,"",178)</f>
        <v/>
      </c>
      <c r="B183" s="15" t="str">
        <f aca="false">IF(A183="","",F182)</f>
        <v/>
      </c>
      <c r="C183" s="15" t="str">
        <f aca="false">IF(A183="","",ROUND(B183*$I$11,2))</f>
        <v/>
      </c>
      <c r="D183" s="15" t="str">
        <f aca="false">IF(A183="","",IF(A183=$I$12,B183,IF($I$8="Amortissement constant",$I$14,$I$13-C183)))</f>
        <v/>
      </c>
      <c r="E183" s="15" t="str">
        <f aca="false">IF(A183="","",C183+D183)</f>
        <v/>
      </c>
      <c r="F183" s="15" t="str">
        <f aca="false">IF(A183="","",ROUND(B183-D183,2))</f>
        <v/>
      </c>
    </row>
    <row r="184" customFormat="false" ht="15" hidden="false" customHeight="false" outlineLevel="0" collapsed="false">
      <c r="A184" s="14" t="str">
        <f aca="false">IF(179&gt;$I$12,"",179)</f>
        <v/>
      </c>
      <c r="B184" s="15" t="str">
        <f aca="false">IF(A184="","",F183)</f>
        <v/>
      </c>
      <c r="C184" s="15" t="str">
        <f aca="false">IF(A184="","",ROUND(B184*$I$11,2))</f>
        <v/>
      </c>
      <c r="D184" s="15" t="str">
        <f aca="false">IF(A184="","",IF(A184=$I$12,B184,IF($I$8="Amortissement constant",$I$14,$I$13-C184)))</f>
        <v/>
      </c>
      <c r="E184" s="15" t="str">
        <f aca="false">IF(A184="","",C184+D184)</f>
        <v/>
      </c>
      <c r="F184" s="15" t="str">
        <f aca="false">IF(A184="","",ROUND(B184-D184,2))</f>
        <v/>
      </c>
    </row>
    <row r="185" customFormat="false" ht="15" hidden="false" customHeight="false" outlineLevel="0" collapsed="false">
      <c r="A185" s="14" t="str">
        <f aca="false">IF(180&gt;$I$12,"",180)</f>
        <v/>
      </c>
      <c r="B185" s="15" t="str">
        <f aca="false">IF(A185="","",F184)</f>
        <v/>
      </c>
      <c r="C185" s="15" t="str">
        <f aca="false">IF(A185="","",ROUND(B185*$I$11,2))</f>
        <v/>
      </c>
      <c r="D185" s="15" t="str">
        <f aca="false">IF(A185="","",IF(A185=$I$12,B185,IF($I$8="Amortissement constant",$I$14,$I$13-C185)))</f>
        <v/>
      </c>
      <c r="E185" s="15" t="str">
        <f aca="false">IF(A185="","",C185+D185)</f>
        <v/>
      </c>
      <c r="F185" s="15" t="str">
        <f aca="false">IF(A185="","",ROUND(B185-D185,2))</f>
        <v/>
      </c>
    </row>
    <row r="186" customFormat="false" ht="15" hidden="false" customHeight="false" outlineLevel="0" collapsed="false">
      <c r="A186" s="14" t="str">
        <f aca="false">IF(181&gt;$I$12,"",181)</f>
        <v/>
      </c>
      <c r="B186" s="15" t="str">
        <f aca="false">IF(A186="","",F185)</f>
        <v/>
      </c>
      <c r="C186" s="15" t="str">
        <f aca="false">IF(A186="","",ROUND(B186*$I$11,2))</f>
        <v/>
      </c>
      <c r="D186" s="15" t="str">
        <f aca="false">IF(A186="","",IF(A186=$I$12,B186,IF($I$8="Amortissement constant",$I$14,$I$13-C186)))</f>
        <v/>
      </c>
      <c r="E186" s="15" t="str">
        <f aca="false">IF(A186="","",C186+D186)</f>
        <v/>
      </c>
      <c r="F186" s="15" t="str">
        <f aca="false">IF(A186="","",ROUND(B186-D186,2))</f>
        <v/>
      </c>
    </row>
    <row r="187" customFormat="false" ht="15" hidden="false" customHeight="false" outlineLevel="0" collapsed="false">
      <c r="A187" s="14" t="str">
        <f aca="false">IF(182&gt;$I$12,"",182)</f>
        <v/>
      </c>
      <c r="B187" s="15" t="str">
        <f aca="false">IF(A187="","",F186)</f>
        <v/>
      </c>
      <c r="C187" s="15" t="str">
        <f aca="false">IF(A187="","",ROUND(B187*$I$11,2))</f>
        <v/>
      </c>
      <c r="D187" s="15" t="str">
        <f aca="false">IF(A187="","",IF(A187=$I$12,B187,IF($I$8="Amortissement constant",$I$14,$I$13-C187)))</f>
        <v/>
      </c>
      <c r="E187" s="15" t="str">
        <f aca="false">IF(A187="","",C187+D187)</f>
        <v/>
      </c>
      <c r="F187" s="15" t="str">
        <f aca="false">IF(A187="","",ROUND(B187-D187,2))</f>
        <v/>
      </c>
    </row>
    <row r="188" customFormat="false" ht="15" hidden="false" customHeight="false" outlineLevel="0" collapsed="false">
      <c r="A188" s="14" t="str">
        <f aca="false">IF(183&gt;$I$12,"",183)</f>
        <v/>
      </c>
      <c r="B188" s="15" t="str">
        <f aca="false">IF(A188="","",F187)</f>
        <v/>
      </c>
      <c r="C188" s="15" t="str">
        <f aca="false">IF(A188="","",ROUND(B188*$I$11,2))</f>
        <v/>
      </c>
      <c r="D188" s="15" t="str">
        <f aca="false">IF(A188="","",IF(A188=$I$12,B188,IF($I$8="Amortissement constant",$I$14,$I$13-C188)))</f>
        <v/>
      </c>
      <c r="E188" s="15" t="str">
        <f aca="false">IF(A188="","",C188+D188)</f>
        <v/>
      </c>
      <c r="F188" s="15" t="str">
        <f aca="false">IF(A188="","",ROUND(B188-D188,2))</f>
        <v/>
      </c>
    </row>
    <row r="189" customFormat="false" ht="15" hidden="false" customHeight="false" outlineLevel="0" collapsed="false">
      <c r="A189" s="14" t="str">
        <f aca="false">IF(184&gt;$I$12,"",184)</f>
        <v/>
      </c>
      <c r="B189" s="15" t="str">
        <f aca="false">IF(A189="","",F188)</f>
        <v/>
      </c>
      <c r="C189" s="15" t="str">
        <f aca="false">IF(A189="","",ROUND(B189*$I$11,2))</f>
        <v/>
      </c>
      <c r="D189" s="15" t="str">
        <f aca="false">IF(A189="","",IF(A189=$I$12,B189,IF($I$8="Amortissement constant",$I$14,$I$13-C189)))</f>
        <v/>
      </c>
      <c r="E189" s="15" t="str">
        <f aca="false">IF(A189="","",C189+D189)</f>
        <v/>
      </c>
      <c r="F189" s="15" t="str">
        <f aca="false">IF(A189="","",ROUND(B189-D189,2))</f>
        <v/>
      </c>
    </row>
    <row r="190" customFormat="false" ht="15" hidden="false" customHeight="false" outlineLevel="0" collapsed="false">
      <c r="A190" s="14" t="str">
        <f aca="false">IF(185&gt;$I$12,"",185)</f>
        <v/>
      </c>
      <c r="B190" s="15" t="str">
        <f aca="false">IF(A190="","",F189)</f>
        <v/>
      </c>
      <c r="C190" s="15" t="str">
        <f aca="false">IF(A190="","",ROUND(B190*$I$11,2))</f>
        <v/>
      </c>
      <c r="D190" s="15" t="str">
        <f aca="false">IF(A190="","",IF(A190=$I$12,B190,IF($I$8="Amortissement constant",$I$14,$I$13-C190)))</f>
        <v/>
      </c>
      <c r="E190" s="15" t="str">
        <f aca="false">IF(A190="","",C190+D190)</f>
        <v/>
      </c>
      <c r="F190" s="15" t="str">
        <f aca="false">IF(A190="","",ROUND(B190-D190,2))</f>
        <v/>
      </c>
    </row>
    <row r="191" customFormat="false" ht="15" hidden="false" customHeight="false" outlineLevel="0" collapsed="false">
      <c r="A191" s="14" t="str">
        <f aca="false">IF(186&gt;$I$12,"",186)</f>
        <v/>
      </c>
      <c r="B191" s="15" t="str">
        <f aca="false">IF(A191="","",F190)</f>
        <v/>
      </c>
      <c r="C191" s="15" t="str">
        <f aca="false">IF(A191="","",ROUND(B191*$I$11,2))</f>
        <v/>
      </c>
      <c r="D191" s="15" t="str">
        <f aca="false">IF(A191="","",IF(A191=$I$12,B191,IF($I$8="Amortissement constant",$I$14,$I$13-C191)))</f>
        <v/>
      </c>
      <c r="E191" s="15" t="str">
        <f aca="false">IF(A191="","",C191+D191)</f>
        <v/>
      </c>
      <c r="F191" s="15" t="str">
        <f aca="false">IF(A191="","",ROUND(B191-D191,2))</f>
        <v/>
      </c>
    </row>
    <row r="192" customFormat="false" ht="15" hidden="false" customHeight="false" outlineLevel="0" collapsed="false">
      <c r="A192" s="14" t="str">
        <f aca="false">IF(187&gt;$I$12,"",187)</f>
        <v/>
      </c>
      <c r="B192" s="15" t="str">
        <f aca="false">IF(A192="","",F191)</f>
        <v/>
      </c>
      <c r="C192" s="15" t="str">
        <f aca="false">IF(A192="","",ROUND(B192*$I$11,2))</f>
        <v/>
      </c>
      <c r="D192" s="15" t="str">
        <f aca="false">IF(A192="","",IF(A192=$I$12,B192,IF($I$8="Amortissement constant",$I$14,$I$13-C192)))</f>
        <v/>
      </c>
      <c r="E192" s="15" t="str">
        <f aca="false">IF(A192="","",C192+D192)</f>
        <v/>
      </c>
      <c r="F192" s="15" t="str">
        <f aca="false">IF(A192="","",ROUND(B192-D192,2))</f>
        <v/>
      </c>
    </row>
    <row r="193" customFormat="false" ht="15" hidden="false" customHeight="false" outlineLevel="0" collapsed="false">
      <c r="A193" s="14" t="str">
        <f aca="false">IF(188&gt;$I$12,"",188)</f>
        <v/>
      </c>
      <c r="B193" s="15" t="str">
        <f aca="false">IF(A193="","",F192)</f>
        <v/>
      </c>
      <c r="C193" s="15" t="str">
        <f aca="false">IF(A193="","",ROUND(B193*$I$11,2))</f>
        <v/>
      </c>
      <c r="D193" s="15" t="str">
        <f aca="false">IF(A193="","",IF(A193=$I$12,B193,IF($I$8="Amortissement constant",$I$14,$I$13-C193)))</f>
        <v/>
      </c>
      <c r="E193" s="15" t="str">
        <f aca="false">IF(A193="","",C193+D193)</f>
        <v/>
      </c>
      <c r="F193" s="15" t="str">
        <f aca="false">IF(A193="","",ROUND(B193-D193,2))</f>
        <v/>
      </c>
    </row>
    <row r="194" customFormat="false" ht="15" hidden="false" customHeight="false" outlineLevel="0" collapsed="false">
      <c r="A194" s="14" t="str">
        <f aca="false">IF(189&gt;$I$12,"",189)</f>
        <v/>
      </c>
      <c r="B194" s="15" t="str">
        <f aca="false">IF(A194="","",F193)</f>
        <v/>
      </c>
      <c r="C194" s="15" t="str">
        <f aca="false">IF(A194="","",ROUND(B194*$I$11,2))</f>
        <v/>
      </c>
      <c r="D194" s="15" t="str">
        <f aca="false">IF(A194="","",IF(A194=$I$12,B194,IF($I$8="Amortissement constant",$I$14,$I$13-C194)))</f>
        <v/>
      </c>
      <c r="E194" s="15" t="str">
        <f aca="false">IF(A194="","",C194+D194)</f>
        <v/>
      </c>
      <c r="F194" s="15" t="str">
        <f aca="false">IF(A194="","",ROUND(B194-D194,2))</f>
        <v/>
      </c>
    </row>
    <row r="195" customFormat="false" ht="15" hidden="false" customHeight="false" outlineLevel="0" collapsed="false">
      <c r="A195" s="14" t="str">
        <f aca="false">IF(190&gt;$I$12,"",190)</f>
        <v/>
      </c>
      <c r="B195" s="15" t="str">
        <f aca="false">IF(A195="","",F194)</f>
        <v/>
      </c>
      <c r="C195" s="15" t="str">
        <f aca="false">IF(A195="","",ROUND(B195*$I$11,2))</f>
        <v/>
      </c>
      <c r="D195" s="15" t="str">
        <f aca="false">IF(A195="","",IF(A195=$I$12,B195,IF($I$8="Amortissement constant",$I$14,$I$13-C195)))</f>
        <v/>
      </c>
      <c r="E195" s="15" t="str">
        <f aca="false">IF(A195="","",C195+D195)</f>
        <v/>
      </c>
      <c r="F195" s="15" t="str">
        <f aca="false">IF(A195="","",ROUND(B195-D195,2))</f>
        <v/>
      </c>
    </row>
    <row r="196" customFormat="false" ht="15" hidden="false" customHeight="false" outlineLevel="0" collapsed="false">
      <c r="A196" s="14" t="str">
        <f aca="false">IF(191&gt;$I$12,"",191)</f>
        <v/>
      </c>
      <c r="B196" s="15" t="str">
        <f aca="false">IF(A196="","",F195)</f>
        <v/>
      </c>
      <c r="C196" s="15" t="str">
        <f aca="false">IF(A196="","",ROUND(B196*$I$11,2))</f>
        <v/>
      </c>
      <c r="D196" s="15" t="str">
        <f aca="false">IF(A196="","",IF(A196=$I$12,B196,IF($I$8="Amortissement constant",$I$14,$I$13-C196)))</f>
        <v/>
      </c>
      <c r="E196" s="15" t="str">
        <f aca="false">IF(A196="","",C196+D196)</f>
        <v/>
      </c>
      <c r="F196" s="15" t="str">
        <f aca="false">IF(A196="","",ROUND(B196-D196,2))</f>
        <v/>
      </c>
    </row>
    <row r="197" customFormat="false" ht="15" hidden="false" customHeight="false" outlineLevel="0" collapsed="false">
      <c r="A197" s="14" t="str">
        <f aca="false">IF(192&gt;$I$12,"",192)</f>
        <v/>
      </c>
      <c r="B197" s="15" t="str">
        <f aca="false">IF(A197="","",F196)</f>
        <v/>
      </c>
      <c r="C197" s="15" t="str">
        <f aca="false">IF(A197="","",ROUND(B197*$I$11,2))</f>
        <v/>
      </c>
      <c r="D197" s="15" t="str">
        <f aca="false">IF(A197="","",IF(A197=$I$12,B197,IF($I$8="Amortissement constant",$I$14,$I$13-C197)))</f>
        <v/>
      </c>
      <c r="E197" s="15" t="str">
        <f aca="false">IF(A197="","",C197+D197)</f>
        <v/>
      </c>
      <c r="F197" s="15" t="str">
        <f aca="false">IF(A197="","",ROUND(B197-D197,2))</f>
        <v/>
      </c>
    </row>
    <row r="198" customFormat="false" ht="15" hidden="false" customHeight="false" outlineLevel="0" collapsed="false">
      <c r="A198" s="14" t="str">
        <f aca="false">IF(193&gt;$I$12,"",193)</f>
        <v/>
      </c>
      <c r="B198" s="15" t="str">
        <f aca="false">IF(A198="","",F197)</f>
        <v/>
      </c>
      <c r="C198" s="15" t="str">
        <f aca="false">IF(A198="","",ROUND(B198*$I$11,2))</f>
        <v/>
      </c>
      <c r="D198" s="15" t="str">
        <f aca="false">IF(A198="","",IF(A198=$I$12,B198,IF($I$8="Amortissement constant",$I$14,$I$13-C198)))</f>
        <v/>
      </c>
      <c r="E198" s="15" t="str">
        <f aca="false">IF(A198="","",C198+D198)</f>
        <v/>
      </c>
      <c r="F198" s="15" t="str">
        <f aca="false">IF(A198="","",ROUND(B198-D198,2))</f>
        <v/>
      </c>
    </row>
    <row r="199" customFormat="false" ht="15" hidden="false" customHeight="false" outlineLevel="0" collapsed="false">
      <c r="A199" s="14" t="str">
        <f aca="false">IF(194&gt;$I$12,"",194)</f>
        <v/>
      </c>
      <c r="B199" s="15" t="str">
        <f aca="false">IF(A199="","",F198)</f>
        <v/>
      </c>
      <c r="C199" s="15" t="str">
        <f aca="false">IF(A199="","",ROUND(B199*$I$11,2))</f>
        <v/>
      </c>
      <c r="D199" s="15" t="str">
        <f aca="false">IF(A199="","",IF(A199=$I$12,B199,IF($I$8="Amortissement constant",$I$14,$I$13-C199)))</f>
        <v/>
      </c>
      <c r="E199" s="15" t="str">
        <f aca="false">IF(A199="","",C199+D199)</f>
        <v/>
      </c>
      <c r="F199" s="15" t="str">
        <f aca="false">IF(A199="","",ROUND(B199-D199,2))</f>
        <v/>
      </c>
    </row>
    <row r="200" customFormat="false" ht="15" hidden="false" customHeight="false" outlineLevel="0" collapsed="false">
      <c r="A200" s="14" t="str">
        <f aca="false">IF(195&gt;$I$12,"",195)</f>
        <v/>
      </c>
      <c r="B200" s="15" t="str">
        <f aca="false">IF(A200="","",F199)</f>
        <v/>
      </c>
      <c r="C200" s="15" t="str">
        <f aca="false">IF(A200="","",ROUND(B200*$I$11,2))</f>
        <v/>
      </c>
      <c r="D200" s="15" t="str">
        <f aca="false">IF(A200="","",IF(A200=$I$12,B200,IF($I$8="Amortissement constant",$I$14,$I$13-C200)))</f>
        <v/>
      </c>
      <c r="E200" s="15" t="str">
        <f aca="false">IF(A200="","",C200+D200)</f>
        <v/>
      </c>
      <c r="F200" s="15" t="str">
        <f aca="false">IF(A200="","",ROUND(B200-D200,2))</f>
        <v/>
      </c>
    </row>
    <row r="201" customFormat="false" ht="15" hidden="false" customHeight="false" outlineLevel="0" collapsed="false">
      <c r="A201" s="14" t="str">
        <f aca="false">IF(196&gt;$I$12,"",196)</f>
        <v/>
      </c>
      <c r="B201" s="15" t="str">
        <f aca="false">IF(A201="","",F200)</f>
        <v/>
      </c>
      <c r="C201" s="15" t="str">
        <f aca="false">IF(A201="","",ROUND(B201*$I$11,2))</f>
        <v/>
      </c>
      <c r="D201" s="15" t="str">
        <f aca="false">IF(A201="","",IF(A201=$I$12,B201,IF($I$8="Amortissement constant",$I$14,$I$13-C201)))</f>
        <v/>
      </c>
      <c r="E201" s="15" t="str">
        <f aca="false">IF(A201="","",C201+D201)</f>
        <v/>
      </c>
      <c r="F201" s="15" t="str">
        <f aca="false">IF(A201="","",ROUND(B201-D201,2))</f>
        <v/>
      </c>
    </row>
    <row r="202" customFormat="false" ht="15" hidden="false" customHeight="false" outlineLevel="0" collapsed="false">
      <c r="A202" s="14" t="str">
        <f aca="false">IF(197&gt;$I$12,"",197)</f>
        <v/>
      </c>
      <c r="B202" s="15" t="str">
        <f aca="false">IF(A202="","",F201)</f>
        <v/>
      </c>
      <c r="C202" s="15" t="str">
        <f aca="false">IF(A202="","",ROUND(B202*$I$11,2))</f>
        <v/>
      </c>
      <c r="D202" s="15" t="str">
        <f aca="false">IF(A202="","",IF(A202=$I$12,B202,IF($I$8="Amortissement constant",$I$14,$I$13-C202)))</f>
        <v/>
      </c>
      <c r="E202" s="15" t="str">
        <f aca="false">IF(A202="","",C202+D202)</f>
        <v/>
      </c>
      <c r="F202" s="15" t="str">
        <f aca="false">IF(A202="","",ROUND(B202-D202,2))</f>
        <v/>
      </c>
    </row>
    <row r="203" customFormat="false" ht="15" hidden="false" customHeight="false" outlineLevel="0" collapsed="false">
      <c r="A203" s="14" t="str">
        <f aca="false">IF(198&gt;$I$12,"",198)</f>
        <v/>
      </c>
      <c r="B203" s="15" t="str">
        <f aca="false">IF(A203="","",F202)</f>
        <v/>
      </c>
      <c r="C203" s="15" t="str">
        <f aca="false">IF(A203="","",ROUND(B203*$I$11,2))</f>
        <v/>
      </c>
      <c r="D203" s="15" t="str">
        <f aca="false">IF(A203="","",IF(A203=$I$12,B203,IF($I$8="Amortissement constant",$I$14,$I$13-C203)))</f>
        <v/>
      </c>
      <c r="E203" s="15" t="str">
        <f aca="false">IF(A203="","",C203+D203)</f>
        <v/>
      </c>
      <c r="F203" s="15" t="str">
        <f aca="false">IF(A203="","",ROUND(B203-D203,2))</f>
        <v/>
      </c>
    </row>
    <row r="204" customFormat="false" ht="15" hidden="false" customHeight="false" outlineLevel="0" collapsed="false">
      <c r="A204" s="14" t="str">
        <f aca="false">IF(199&gt;$I$12,"",199)</f>
        <v/>
      </c>
      <c r="B204" s="15" t="str">
        <f aca="false">IF(A204="","",F203)</f>
        <v/>
      </c>
      <c r="C204" s="15" t="str">
        <f aca="false">IF(A204="","",ROUND(B204*$I$11,2))</f>
        <v/>
      </c>
      <c r="D204" s="15" t="str">
        <f aca="false">IF(A204="","",IF(A204=$I$12,B204,IF($I$8="Amortissement constant",$I$14,$I$13-C204)))</f>
        <v/>
      </c>
      <c r="E204" s="15" t="str">
        <f aca="false">IF(A204="","",C204+D204)</f>
        <v/>
      </c>
      <c r="F204" s="15" t="str">
        <f aca="false">IF(A204="","",ROUND(B204-D204,2))</f>
        <v/>
      </c>
    </row>
    <row r="205" customFormat="false" ht="15" hidden="false" customHeight="false" outlineLevel="0" collapsed="false">
      <c r="A205" s="14" t="str">
        <f aca="false">IF(200&gt;$I$12,"",200)</f>
        <v/>
      </c>
      <c r="B205" s="15" t="str">
        <f aca="false">IF(A205="","",F204)</f>
        <v/>
      </c>
      <c r="C205" s="15" t="str">
        <f aca="false">IF(A205="","",ROUND(B205*$I$11,2))</f>
        <v/>
      </c>
      <c r="D205" s="15" t="str">
        <f aca="false">IF(A205="","",IF(A205=$I$12,B205,IF($I$8="Amortissement constant",$I$14,$I$13-C205)))</f>
        <v/>
      </c>
      <c r="E205" s="15" t="str">
        <f aca="false">IF(A205="","",C205+D205)</f>
        <v/>
      </c>
      <c r="F205" s="15" t="str">
        <f aca="false">IF(A205="","",ROUND(B205-D205,2))</f>
        <v/>
      </c>
    </row>
    <row r="206" customFormat="false" ht="15" hidden="false" customHeight="false" outlineLevel="0" collapsed="false">
      <c r="A206" s="14" t="str">
        <f aca="false">IF(201&gt;$I$12,"",201)</f>
        <v/>
      </c>
      <c r="B206" s="15" t="str">
        <f aca="false">IF(A206="","",F205)</f>
        <v/>
      </c>
      <c r="C206" s="15" t="str">
        <f aca="false">IF(A206="","",ROUND(B206*$I$11,2))</f>
        <v/>
      </c>
      <c r="D206" s="15" t="str">
        <f aca="false">IF(A206="","",IF(A206=$I$12,B206,IF($I$8="Amortissement constant",$I$14,$I$13-C206)))</f>
        <v/>
      </c>
      <c r="E206" s="15" t="str">
        <f aca="false">IF(A206="","",C206+D206)</f>
        <v/>
      </c>
      <c r="F206" s="15" t="str">
        <f aca="false">IF(A206="","",ROUND(B206-D206,2))</f>
        <v/>
      </c>
    </row>
    <row r="207" customFormat="false" ht="15" hidden="false" customHeight="false" outlineLevel="0" collapsed="false">
      <c r="A207" s="14" t="str">
        <f aca="false">IF(202&gt;$I$12,"",202)</f>
        <v/>
      </c>
      <c r="B207" s="15" t="str">
        <f aca="false">IF(A207="","",F206)</f>
        <v/>
      </c>
      <c r="C207" s="15" t="str">
        <f aca="false">IF(A207="","",ROUND(B207*$I$11,2))</f>
        <v/>
      </c>
      <c r="D207" s="15" t="str">
        <f aca="false">IF(A207="","",IF(A207=$I$12,B207,IF($I$8="Amortissement constant",$I$14,$I$13-C207)))</f>
        <v/>
      </c>
      <c r="E207" s="15" t="str">
        <f aca="false">IF(A207="","",C207+D207)</f>
        <v/>
      </c>
      <c r="F207" s="15" t="str">
        <f aca="false">IF(A207="","",ROUND(B207-D207,2))</f>
        <v/>
      </c>
    </row>
    <row r="208" customFormat="false" ht="15" hidden="false" customHeight="false" outlineLevel="0" collapsed="false">
      <c r="A208" s="14" t="str">
        <f aca="false">IF(203&gt;$I$12,"",203)</f>
        <v/>
      </c>
      <c r="B208" s="15" t="str">
        <f aca="false">IF(A208="","",F207)</f>
        <v/>
      </c>
      <c r="C208" s="15" t="str">
        <f aca="false">IF(A208="","",ROUND(B208*$I$11,2))</f>
        <v/>
      </c>
      <c r="D208" s="15" t="str">
        <f aca="false">IF(A208="","",IF(A208=$I$12,B208,IF($I$8="Amortissement constant",$I$14,$I$13-C208)))</f>
        <v/>
      </c>
      <c r="E208" s="15" t="str">
        <f aca="false">IF(A208="","",C208+D208)</f>
        <v/>
      </c>
      <c r="F208" s="15" t="str">
        <f aca="false">IF(A208="","",ROUND(B208-D208,2))</f>
        <v/>
      </c>
    </row>
    <row r="209" customFormat="false" ht="15" hidden="false" customHeight="false" outlineLevel="0" collapsed="false">
      <c r="A209" s="14" t="str">
        <f aca="false">IF(204&gt;$I$12,"",204)</f>
        <v/>
      </c>
      <c r="B209" s="15" t="str">
        <f aca="false">IF(A209="","",F208)</f>
        <v/>
      </c>
      <c r="C209" s="15" t="str">
        <f aca="false">IF(A209="","",ROUND(B209*$I$11,2))</f>
        <v/>
      </c>
      <c r="D209" s="15" t="str">
        <f aca="false">IF(A209="","",IF(A209=$I$12,B209,IF($I$8="Amortissement constant",$I$14,$I$13-C209)))</f>
        <v/>
      </c>
      <c r="E209" s="15" t="str">
        <f aca="false">IF(A209="","",C209+D209)</f>
        <v/>
      </c>
      <c r="F209" s="15" t="str">
        <f aca="false">IF(A209="","",ROUND(B209-D209,2))</f>
        <v/>
      </c>
    </row>
    <row r="210" customFormat="false" ht="15" hidden="false" customHeight="false" outlineLevel="0" collapsed="false">
      <c r="A210" s="14" t="str">
        <f aca="false">IF(205&gt;$I$12,"",205)</f>
        <v/>
      </c>
      <c r="B210" s="15" t="str">
        <f aca="false">IF(A210="","",F209)</f>
        <v/>
      </c>
      <c r="C210" s="15" t="str">
        <f aca="false">IF(A210="","",ROUND(B210*$I$11,2))</f>
        <v/>
      </c>
      <c r="D210" s="15" t="str">
        <f aca="false">IF(A210="","",IF(A210=$I$12,B210,IF($I$8="Amortissement constant",$I$14,$I$13-C210)))</f>
        <v/>
      </c>
      <c r="E210" s="15" t="str">
        <f aca="false">IF(A210="","",C210+D210)</f>
        <v/>
      </c>
      <c r="F210" s="15" t="str">
        <f aca="false">IF(A210="","",ROUND(B210-D210,2))</f>
        <v/>
      </c>
    </row>
    <row r="211" customFormat="false" ht="15" hidden="false" customHeight="false" outlineLevel="0" collapsed="false">
      <c r="A211" s="14" t="str">
        <f aca="false">IF(206&gt;$I$12,"",206)</f>
        <v/>
      </c>
      <c r="B211" s="15" t="str">
        <f aca="false">IF(A211="","",F210)</f>
        <v/>
      </c>
      <c r="C211" s="15" t="str">
        <f aca="false">IF(A211="","",ROUND(B211*$I$11,2))</f>
        <v/>
      </c>
      <c r="D211" s="15" t="str">
        <f aca="false">IF(A211="","",IF(A211=$I$12,B211,IF($I$8="Amortissement constant",$I$14,$I$13-C211)))</f>
        <v/>
      </c>
      <c r="E211" s="15" t="str">
        <f aca="false">IF(A211="","",C211+D211)</f>
        <v/>
      </c>
      <c r="F211" s="15" t="str">
        <f aca="false">IF(A211="","",ROUND(B211-D211,2))</f>
        <v/>
      </c>
    </row>
    <row r="212" customFormat="false" ht="15" hidden="false" customHeight="false" outlineLevel="0" collapsed="false">
      <c r="A212" s="14" t="str">
        <f aca="false">IF(207&gt;$I$12,"",207)</f>
        <v/>
      </c>
      <c r="B212" s="15" t="str">
        <f aca="false">IF(A212="","",F211)</f>
        <v/>
      </c>
      <c r="C212" s="15" t="str">
        <f aca="false">IF(A212="","",ROUND(B212*$I$11,2))</f>
        <v/>
      </c>
      <c r="D212" s="15" t="str">
        <f aca="false">IF(A212="","",IF(A212=$I$12,B212,IF($I$8="Amortissement constant",$I$14,$I$13-C212)))</f>
        <v/>
      </c>
      <c r="E212" s="15" t="str">
        <f aca="false">IF(A212="","",C212+D212)</f>
        <v/>
      </c>
      <c r="F212" s="15" t="str">
        <f aca="false">IF(A212="","",ROUND(B212-D212,2))</f>
        <v/>
      </c>
    </row>
    <row r="213" customFormat="false" ht="15" hidden="false" customHeight="false" outlineLevel="0" collapsed="false">
      <c r="A213" s="14" t="str">
        <f aca="false">IF(208&gt;$I$12,"",208)</f>
        <v/>
      </c>
      <c r="B213" s="15" t="str">
        <f aca="false">IF(A213="","",F212)</f>
        <v/>
      </c>
      <c r="C213" s="15" t="str">
        <f aca="false">IF(A213="","",ROUND(B213*$I$11,2))</f>
        <v/>
      </c>
      <c r="D213" s="15" t="str">
        <f aca="false">IF(A213="","",IF(A213=$I$12,B213,IF($I$8="Amortissement constant",$I$14,$I$13-C213)))</f>
        <v/>
      </c>
      <c r="E213" s="15" t="str">
        <f aca="false">IF(A213="","",C213+D213)</f>
        <v/>
      </c>
      <c r="F213" s="15" t="str">
        <f aca="false">IF(A213="","",ROUND(B213-D213,2))</f>
        <v/>
      </c>
    </row>
    <row r="214" customFormat="false" ht="15" hidden="false" customHeight="false" outlineLevel="0" collapsed="false">
      <c r="A214" s="14" t="str">
        <f aca="false">IF(209&gt;$I$12,"",209)</f>
        <v/>
      </c>
      <c r="B214" s="15" t="str">
        <f aca="false">IF(A214="","",F213)</f>
        <v/>
      </c>
      <c r="C214" s="15" t="str">
        <f aca="false">IF(A214="","",ROUND(B214*$I$11,2))</f>
        <v/>
      </c>
      <c r="D214" s="15" t="str">
        <f aca="false">IF(A214="","",IF(A214=$I$12,B214,IF($I$8="Amortissement constant",$I$14,$I$13-C214)))</f>
        <v/>
      </c>
      <c r="E214" s="15" t="str">
        <f aca="false">IF(A214="","",C214+D214)</f>
        <v/>
      </c>
      <c r="F214" s="15" t="str">
        <f aca="false">IF(A214="","",ROUND(B214-D214,2))</f>
        <v/>
      </c>
    </row>
    <row r="215" customFormat="false" ht="15" hidden="false" customHeight="false" outlineLevel="0" collapsed="false">
      <c r="A215" s="14" t="str">
        <f aca="false">IF(210&gt;$I$12,"",210)</f>
        <v/>
      </c>
      <c r="B215" s="15" t="str">
        <f aca="false">IF(A215="","",F214)</f>
        <v/>
      </c>
      <c r="C215" s="15" t="str">
        <f aca="false">IF(A215="","",ROUND(B215*$I$11,2))</f>
        <v/>
      </c>
      <c r="D215" s="15" t="str">
        <f aca="false">IF(A215="","",IF(A215=$I$12,B215,IF($I$8="Amortissement constant",$I$14,$I$13-C215)))</f>
        <v/>
      </c>
      <c r="E215" s="15" t="str">
        <f aca="false">IF(A215="","",C215+D215)</f>
        <v/>
      </c>
      <c r="F215" s="15" t="str">
        <f aca="false">IF(A215="","",ROUND(B215-D215,2))</f>
        <v/>
      </c>
    </row>
    <row r="216" customFormat="false" ht="15" hidden="false" customHeight="false" outlineLevel="0" collapsed="false">
      <c r="A216" s="14" t="str">
        <f aca="false">IF(211&gt;$I$12,"",211)</f>
        <v/>
      </c>
      <c r="B216" s="15" t="str">
        <f aca="false">IF(A216="","",F215)</f>
        <v/>
      </c>
      <c r="C216" s="15" t="str">
        <f aca="false">IF(A216="","",ROUND(B216*$I$11,2))</f>
        <v/>
      </c>
      <c r="D216" s="15" t="str">
        <f aca="false">IF(A216="","",IF(A216=$I$12,B216,IF($I$8="Amortissement constant",$I$14,$I$13-C216)))</f>
        <v/>
      </c>
      <c r="E216" s="15" t="str">
        <f aca="false">IF(A216="","",C216+D216)</f>
        <v/>
      </c>
      <c r="F216" s="15" t="str">
        <f aca="false">IF(A216="","",ROUND(B216-D216,2))</f>
        <v/>
      </c>
    </row>
    <row r="217" customFormat="false" ht="15" hidden="false" customHeight="false" outlineLevel="0" collapsed="false">
      <c r="A217" s="14" t="str">
        <f aca="false">IF(212&gt;$I$12,"",212)</f>
        <v/>
      </c>
      <c r="B217" s="15" t="str">
        <f aca="false">IF(A217="","",F216)</f>
        <v/>
      </c>
      <c r="C217" s="15" t="str">
        <f aca="false">IF(A217="","",ROUND(B217*$I$11,2))</f>
        <v/>
      </c>
      <c r="D217" s="15" t="str">
        <f aca="false">IF(A217="","",IF(A217=$I$12,B217,IF($I$8="Amortissement constant",$I$14,$I$13-C217)))</f>
        <v/>
      </c>
      <c r="E217" s="15" t="str">
        <f aca="false">IF(A217="","",C217+D217)</f>
        <v/>
      </c>
      <c r="F217" s="15" t="str">
        <f aca="false">IF(A217="","",ROUND(B217-D217,2))</f>
        <v/>
      </c>
    </row>
    <row r="218" customFormat="false" ht="15" hidden="false" customHeight="false" outlineLevel="0" collapsed="false">
      <c r="A218" s="14" t="str">
        <f aca="false">IF(213&gt;$I$12,"",213)</f>
        <v/>
      </c>
      <c r="B218" s="15" t="str">
        <f aca="false">IF(A218="","",F217)</f>
        <v/>
      </c>
      <c r="C218" s="15" t="str">
        <f aca="false">IF(A218="","",ROUND(B218*$I$11,2))</f>
        <v/>
      </c>
      <c r="D218" s="15" t="str">
        <f aca="false">IF(A218="","",IF(A218=$I$12,B218,IF($I$8="Amortissement constant",$I$14,$I$13-C218)))</f>
        <v/>
      </c>
      <c r="E218" s="15" t="str">
        <f aca="false">IF(A218="","",C218+D218)</f>
        <v/>
      </c>
      <c r="F218" s="15" t="str">
        <f aca="false">IF(A218="","",ROUND(B218-D218,2))</f>
        <v/>
      </c>
    </row>
    <row r="219" customFormat="false" ht="15" hidden="false" customHeight="false" outlineLevel="0" collapsed="false">
      <c r="A219" s="14" t="str">
        <f aca="false">IF(214&gt;$I$12,"",214)</f>
        <v/>
      </c>
      <c r="B219" s="15" t="str">
        <f aca="false">IF(A219="","",F218)</f>
        <v/>
      </c>
      <c r="C219" s="15" t="str">
        <f aca="false">IF(A219="","",ROUND(B219*$I$11,2))</f>
        <v/>
      </c>
      <c r="D219" s="15" t="str">
        <f aca="false">IF(A219="","",IF(A219=$I$12,B219,IF($I$8="Amortissement constant",$I$14,$I$13-C219)))</f>
        <v/>
      </c>
      <c r="E219" s="15" t="str">
        <f aca="false">IF(A219="","",C219+D219)</f>
        <v/>
      </c>
      <c r="F219" s="15" t="str">
        <f aca="false">IF(A219="","",ROUND(B219-D219,2))</f>
        <v/>
      </c>
    </row>
    <row r="220" customFormat="false" ht="15" hidden="false" customHeight="false" outlineLevel="0" collapsed="false">
      <c r="A220" s="14" t="str">
        <f aca="false">IF(215&gt;$I$12,"",215)</f>
        <v/>
      </c>
      <c r="B220" s="15" t="str">
        <f aca="false">IF(A220="","",F219)</f>
        <v/>
      </c>
      <c r="C220" s="15" t="str">
        <f aca="false">IF(A220="","",ROUND(B220*$I$11,2))</f>
        <v/>
      </c>
      <c r="D220" s="15" t="str">
        <f aca="false">IF(A220="","",IF(A220=$I$12,B220,IF($I$8="Amortissement constant",$I$14,$I$13-C220)))</f>
        <v/>
      </c>
      <c r="E220" s="15" t="str">
        <f aca="false">IF(A220="","",C220+D220)</f>
        <v/>
      </c>
      <c r="F220" s="15" t="str">
        <f aca="false">IF(A220="","",ROUND(B220-D220,2))</f>
        <v/>
      </c>
    </row>
    <row r="221" customFormat="false" ht="15" hidden="false" customHeight="false" outlineLevel="0" collapsed="false">
      <c r="A221" s="14" t="str">
        <f aca="false">IF(216&gt;$I$12,"",216)</f>
        <v/>
      </c>
      <c r="B221" s="15" t="str">
        <f aca="false">IF(A221="","",F220)</f>
        <v/>
      </c>
      <c r="C221" s="15" t="str">
        <f aca="false">IF(A221="","",ROUND(B221*$I$11,2))</f>
        <v/>
      </c>
      <c r="D221" s="15" t="str">
        <f aca="false">IF(A221="","",IF(A221=$I$12,B221,IF($I$8="Amortissement constant",$I$14,$I$13-C221)))</f>
        <v/>
      </c>
      <c r="E221" s="15" t="str">
        <f aca="false">IF(A221="","",C221+D221)</f>
        <v/>
      </c>
      <c r="F221" s="15" t="str">
        <f aca="false">IF(A221="","",ROUND(B221-D221,2))</f>
        <v/>
      </c>
    </row>
    <row r="222" customFormat="false" ht="15" hidden="false" customHeight="false" outlineLevel="0" collapsed="false">
      <c r="A222" s="14" t="str">
        <f aca="false">IF(217&gt;$I$12,"",217)</f>
        <v/>
      </c>
      <c r="B222" s="15" t="str">
        <f aca="false">IF(A222="","",F221)</f>
        <v/>
      </c>
      <c r="C222" s="15" t="str">
        <f aca="false">IF(A222="","",ROUND(B222*$I$11,2))</f>
        <v/>
      </c>
      <c r="D222" s="15" t="str">
        <f aca="false">IF(A222="","",IF(A222=$I$12,B222,IF($I$8="Amortissement constant",$I$14,$I$13-C222)))</f>
        <v/>
      </c>
      <c r="E222" s="15" t="str">
        <f aca="false">IF(A222="","",C222+D222)</f>
        <v/>
      </c>
      <c r="F222" s="15" t="str">
        <f aca="false">IF(A222="","",ROUND(B222-D222,2))</f>
        <v/>
      </c>
    </row>
    <row r="223" customFormat="false" ht="15" hidden="false" customHeight="false" outlineLevel="0" collapsed="false">
      <c r="A223" s="14" t="str">
        <f aca="false">IF(218&gt;$I$12,"",218)</f>
        <v/>
      </c>
      <c r="B223" s="15" t="str">
        <f aca="false">IF(A223="","",F222)</f>
        <v/>
      </c>
      <c r="C223" s="15" t="str">
        <f aca="false">IF(A223="","",ROUND(B223*$I$11,2))</f>
        <v/>
      </c>
      <c r="D223" s="15" t="str">
        <f aca="false">IF(A223="","",IF(A223=$I$12,B223,IF($I$8="Amortissement constant",$I$14,$I$13-C223)))</f>
        <v/>
      </c>
      <c r="E223" s="15" t="str">
        <f aca="false">IF(A223="","",C223+D223)</f>
        <v/>
      </c>
      <c r="F223" s="15" t="str">
        <f aca="false">IF(A223="","",ROUND(B223-D223,2))</f>
        <v/>
      </c>
    </row>
    <row r="224" customFormat="false" ht="15" hidden="false" customHeight="false" outlineLevel="0" collapsed="false">
      <c r="A224" s="14" t="str">
        <f aca="false">IF(219&gt;$I$12,"",219)</f>
        <v/>
      </c>
      <c r="B224" s="15" t="str">
        <f aca="false">IF(A224="","",F223)</f>
        <v/>
      </c>
      <c r="C224" s="15" t="str">
        <f aca="false">IF(A224="","",ROUND(B224*$I$11,2))</f>
        <v/>
      </c>
      <c r="D224" s="15" t="str">
        <f aca="false">IF(A224="","",IF(A224=$I$12,B224,IF($I$8="Amortissement constant",$I$14,$I$13-C224)))</f>
        <v/>
      </c>
      <c r="E224" s="15" t="str">
        <f aca="false">IF(A224="","",C224+D224)</f>
        <v/>
      </c>
      <c r="F224" s="15" t="str">
        <f aca="false">IF(A224="","",ROUND(B224-D224,2))</f>
        <v/>
      </c>
    </row>
    <row r="225" customFormat="false" ht="15" hidden="false" customHeight="false" outlineLevel="0" collapsed="false">
      <c r="A225" s="14" t="str">
        <f aca="false">IF(220&gt;$I$12,"",220)</f>
        <v/>
      </c>
      <c r="B225" s="15" t="str">
        <f aca="false">IF(A225="","",F224)</f>
        <v/>
      </c>
      <c r="C225" s="15" t="str">
        <f aca="false">IF(A225="","",ROUND(B225*$I$11,2))</f>
        <v/>
      </c>
      <c r="D225" s="15" t="str">
        <f aca="false">IF(A225="","",IF(A225=$I$12,B225,IF($I$8="Amortissement constant",$I$14,$I$13-C225)))</f>
        <v/>
      </c>
      <c r="E225" s="15" t="str">
        <f aca="false">IF(A225="","",C225+D225)</f>
        <v/>
      </c>
      <c r="F225" s="15" t="str">
        <f aca="false">IF(A225="","",ROUND(B225-D225,2))</f>
        <v/>
      </c>
    </row>
    <row r="226" customFormat="false" ht="15" hidden="false" customHeight="false" outlineLevel="0" collapsed="false">
      <c r="A226" s="14" t="str">
        <f aca="false">IF(221&gt;$I$12,"",221)</f>
        <v/>
      </c>
      <c r="B226" s="15" t="str">
        <f aca="false">IF(A226="","",F225)</f>
        <v/>
      </c>
      <c r="C226" s="15" t="str">
        <f aca="false">IF(A226="","",ROUND(B226*$I$11,2))</f>
        <v/>
      </c>
      <c r="D226" s="15" t="str">
        <f aca="false">IF(A226="","",IF(A226=$I$12,B226,IF($I$8="Amortissement constant",$I$14,$I$13-C226)))</f>
        <v/>
      </c>
      <c r="E226" s="15" t="str">
        <f aca="false">IF(A226="","",C226+D226)</f>
        <v/>
      </c>
      <c r="F226" s="15" t="str">
        <f aca="false">IF(A226="","",ROUND(B226-D226,2))</f>
        <v/>
      </c>
    </row>
    <row r="227" customFormat="false" ht="15" hidden="false" customHeight="false" outlineLevel="0" collapsed="false">
      <c r="A227" s="14" t="str">
        <f aca="false">IF(222&gt;$I$12,"",222)</f>
        <v/>
      </c>
      <c r="B227" s="15" t="str">
        <f aca="false">IF(A227="","",F226)</f>
        <v/>
      </c>
      <c r="C227" s="15" t="str">
        <f aca="false">IF(A227="","",ROUND(B227*$I$11,2))</f>
        <v/>
      </c>
      <c r="D227" s="15" t="str">
        <f aca="false">IF(A227="","",IF(A227=$I$12,B227,IF($I$8="Amortissement constant",$I$14,$I$13-C227)))</f>
        <v/>
      </c>
      <c r="E227" s="15" t="str">
        <f aca="false">IF(A227="","",C227+D227)</f>
        <v/>
      </c>
      <c r="F227" s="15" t="str">
        <f aca="false">IF(A227="","",ROUND(B227-D227,2))</f>
        <v/>
      </c>
    </row>
    <row r="228" customFormat="false" ht="15" hidden="false" customHeight="false" outlineLevel="0" collapsed="false">
      <c r="A228" s="14" t="str">
        <f aca="false">IF(223&gt;$I$12,"",223)</f>
        <v/>
      </c>
      <c r="B228" s="15" t="str">
        <f aca="false">IF(A228="","",F227)</f>
        <v/>
      </c>
      <c r="C228" s="15" t="str">
        <f aca="false">IF(A228="","",ROUND(B228*$I$11,2))</f>
        <v/>
      </c>
      <c r="D228" s="15" t="str">
        <f aca="false">IF(A228="","",IF(A228=$I$12,B228,IF($I$8="Amortissement constant",$I$14,$I$13-C228)))</f>
        <v/>
      </c>
      <c r="E228" s="15" t="str">
        <f aca="false">IF(A228="","",C228+D228)</f>
        <v/>
      </c>
      <c r="F228" s="15" t="str">
        <f aca="false">IF(A228="","",ROUND(B228-D228,2))</f>
        <v/>
      </c>
    </row>
    <row r="229" customFormat="false" ht="15" hidden="false" customHeight="false" outlineLevel="0" collapsed="false">
      <c r="A229" s="14" t="str">
        <f aca="false">IF(224&gt;$I$12,"",224)</f>
        <v/>
      </c>
      <c r="B229" s="15" t="str">
        <f aca="false">IF(A229="","",F228)</f>
        <v/>
      </c>
      <c r="C229" s="15" t="str">
        <f aca="false">IF(A229="","",ROUND(B229*$I$11,2))</f>
        <v/>
      </c>
      <c r="D229" s="15" t="str">
        <f aca="false">IF(A229="","",IF(A229=$I$12,B229,IF($I$8="Amortissement constant",$I$14,$I$13-C229)))</f>
        <v/>
      </c>
      <c r="E229" s="15" t="str">
        <f aca="false">IF(A229="","",C229+D229)</f>
        <v/>
      </c>
      <c r="F229" s="15" t="str">
        <f aca="false">IF(A229="","",ROUND(B229-D229,2))</f>
        <v/>
      </c>
    </row>
    <row r="230" customFormat="false" ht="15" hidden="false" customHeight="false" outlineLevel="0" collapsed="false">
      <c r="A230" s="14" t="str">
        <f aca="false">IF(225&gt;$I$12,"",225)</f>
        <v/>
      </c>
      <c r="B230" s="15" t="str">
        <f aca="false">IF(A230="","",F229)</f>
        <v/>
      </c>
      <c r="C230" s="15" t="str">
        <f aca="false">IF(A230="","",ROUND(B230*$I$11,2))</f>
        <v/>
      </c>
      <c r="D230" s="15" t="str">
        <f aca="false">IF(A230="","",IF(A230=$I$12,B230,IF($I$8="Amortissement constant",$I$14,$I$13-C230)))</f>
        <v/>
      </c>
      <c r="E230" s="15" t="str">
        <f aca="false">IF(A230="","",C230+D230)</f>
        <v/>
      </c>
      <c r="F230" s="15" t="str">
        <f aca="false">IF(A230="","",ROUND(B230-D230,2))</f>
        <v/>
      </c>
    </row>
    <row r="231" customFormat="false" ht="15" hidden="false" customHeight="false" outlineLevel="0" collapsed="false">
      <c r="A231" s="14" t="str">
        <f aca="false">IF(226&gt;$I$12,"",226)</f>
        <v/>
      </c>
      <c r="B231" s="15" t="str">
        <f aca="false">IF(A231="","",F230)</f>
        <v/>
      </c>
      <c r="C231" s="15" t="str">
        <f aca="false">IF(A231="","",ROUND(B231*$I$11,2))</f>
        <v/>
      </c>
      <c r="D231" s="15" t="str">
        <f aca="false">IF(A231="","",IF(A231=$I$12,B231,IF($I$8="Amortissement constant",$I$14,$I$13-C231)))</f>
        <v/>
      </c>
      <c r="E231" s="15" t="str">
        <f aca="false">IF(A231="","",C231+D231)</f>
        <v/>
      </c>
      <c r="F231" s="15" t="str">
        <f aca="false">IF(A231="","",ROUND(B231-D231,2))</f>
        <v/>
      </c>
    </row>
    <row r="232" customFormat="false" ht="15" hidden="false" customHeight="false" outlineLevel="0" collapsed="false">
      <c r="A232" s="14" t="str">
        <f aca="false">IF(227&gt;$I$12,"",227)</f>
        <v/>
      </c>
      <c r="B232" s="15" t="str">
        <f aca="false">IF(A232="","",F231)</f>
        <v/>
      </c>
      <c r="C232" s="15" t="str">
        <f aca="false">IF(A232="","",ROUND(B232*$I$11,2))</f>
        <v/>
      </c>
      <c r="D232" s="15" t="str">
        <f aca="false">IF(A232="","",IF(A232=$I$12,B232,IF($I$8="Amortissement constant",$I$14,$I$13-C232)))</f>
        <v/>
      </c>
      <c r="E232" s="15" t="str">
        <f aca="false">IF(A232="","",C232+D232)</f>
        <v/>
      </c>
      <c r="F232" s="15" t="str">
        <f aca="false">IF(A232="","",ROUND(B232-D232,2))</f>
        <v/>
      </c>
    </row>
    <row r="233" customFormat="false" ht="15" hidden="false" customHeight="false" outlineLevel="0" collapsed="false">
      <c r="A233" s="14" t="str">
        <f aca="false">IF(228&gt;$I$12,"",228)</f>
        <v/>
      </c>
      <c r="B233" s="15" t="str">
        <f aca="false">IF(A233="","",F232)</f>
        <v/>
      </c>
      <c r="C233" s="15" t="str">
        <f aca="false">IF(A233="","",ROUND(B233*$I$11,2))</f>
        <v/>
      </c>
      <c r="D233" s="15" t="str">
        <f aca="false">IF(A233="","",IF(A233=$I$12,B233,IF($I$8="Amortissement constant",$I$14,$I$13-C233)))</f>
        <v/>
      </c>
      <c r="E233" s="15" t="str">
        <f aca="false">IF(A233="","",C233+D233)</f>
        <v/>
      </c>
      <c r="F233" s="15" t="str">
        <f aca="false">IF(A233="","",ROUND(B233-D233,2))</f>
        <v/>
      </c>
    </row>
    <row r="234" customFormat="false" ht="15" hidden="false" customHeight="false" outlineLevel="0" collapsed="false">
      <c r="A234" s="14" t="str">
        <f aca="false">IF(229&gt;$I$12,"",229)</f>
        <v/>
      </c>
      <c r="B234" s="15" t="str">
        <f aca="false">IF(A234="","",F233)</f>
        <v/>
      </c>
      <c r="C234" s="15" t="str">
        <f aca="false">IF(A234="","",ROUND(B234*$I$11,2))</f>
        <v/>
      </c>
      <c r="D234" s="15" t="str">
        <f aca="false">IF(A234="","",IF(A234=$I$12,B234,IF($I$8="Amortissement constant",$I$14,$I$13-C234)))</f>
        <v/>
      </c>
      <c r="E234" s="15" t="str">
        <f aca="false">IF(A234="","",C234+D234)</f>
        <v/>
      </c>
      <c r="F234" s="15" t="str">
        <f aca="false">IF(A234="","",ROUND(B234-D234,2))</f>
        <v/>
      </c>
    </row>
    <row r="235" customFormat="false" ht="15" hidden="false" customHeight="false" outlineLevel="0" collapsed="false">
      <c r="A235" s="14" t="str">
        <f aca="false">IF(230&gt;$I$12,"",230)</f>
        <v/>
      </c>
      <c r="B235" s="15" t="str">
        <f aca="false">IF(A235="","",F234)</f>
        <v/>
      </c>
      <c r="C235" s="15" t="str">
        <f aca="false">IF(A235="","",ROUND(B235*$I$11,2))</f>
        <v/>
      </c>
      <c r="D235" s="15" t="str">
        <f aca="false">IF(A235="","",IF(A235=$I$12,B235,IF($I$8="Amortissement constant",$I$14,$I$13-C235)))</f>
        <v/>
      </c>
      <c r="E235" s="15" t="str">
        <f aca="false">IF(A235="","",C235+D235)</f>
        <v/>
      </c>
      <c r="F235" s="15" t="str">
        <f aca="false">IF(A235="","",ROUND(B235-D235,2))</f>
        <v/>
      </c>
    </row>
    <row r="236" customFormat="false" ht="15" hidden="false" customHeight="false" outlineLevel="0" collapsed="false">
      <c r="A236" s="14" t="str">
        <f aca="false">IF(231&gt;$I$12,"",231)</f>
        <v/>
      </c>
      <c r="B236" s="15" t="str">
        <f aca="false">IF(A236="","",F235)</f>
        <v/>
      </c>
      <c r="C236" s="15" t="str">
        <f aca="false">IF(A236="","",ROUND(B236*$I$11,2))</f>
        <v/>
      </c>
      <c r="D236" s="15" t="str">
        <f aca="false">IF(A236="","",IF(A236=$I$12,B236,IF($I$8="Amortissement constant",$I$14,$I$13-C236)))</f>
        <v/>
      </c>
      <c r="E236" s="15" t="str">
        <f aca="false">IF(A236="","",C236+D236)</f>
        <v/>
      </c>
      <c r="F236" s="15" t="str">
        <f aca="false">IF(A236="","",ROUND(B236-D236,2))</f>
        <v/>
      </c>
    </row>
    <row r="237" customFormat="false" ht="15" hidden="false" customHeight="false" outlineLevel="0" collapsed="false">
      <c r="A237" s="14" t="str">
        <f aca="false">IF(232&gt;$I$12,"",232)</f>
        <v/>
      </c>
      <c r="B237" s="15" t="str">
        <f aca="false">IF(A237="","",F236)</f>
        <v/>
      </c>
      <c r="C237" s="15" t="str">
        <f aca="false">IF(A237="","",ROUND(B237*$I$11,2))</f>
        <v/>
      </c>
      <c r="D237" s="15" t="str">
        <f aca="false">IF(A237="","",IF(A237=$I$12,B237,IF($I$8="Amortissement constant",$I$14,$I$13-C237)))</f>
        <v/>
      </c>
      <c r="E237" s="15" t="str">
        <f aca="false">IF(A237="","",C237+D237)</f>
        <v/>
      </c>
      <c r="F237" s="15" t="str">
        <f aca="false">IF(A237="","",ROUND(B237-D237,2))</f>
        <v/>
      </c>
    </row>
    <row r="238" customFormat="false" ht="15" hidden="false" customHeight="false" outlineLevel="0" collapsed="false">
      <c r="A238" s="14" t="str">
        <f aca="false">IF(233&gt;$I$12,"",233)</f>
        <v/>
      </c>
      <c r="B238" s="15" t="str">
        <f aca="false">IF(A238="","",F237)</f>
        <v/>
      </c>
      <c r="C238" s="15" t="str">
        <f aca="false">IF(A238="","",ROUND(B238*$I$11,2))</f>
        <v/>
      </c>
      <c r="D238" s="15" t="str">
        <f aca="false">IF(A238="","",IF(A238=$I$12,B238,IF($I$8="Amortissement constant",$I$14,$I$13-C238)))</f>
        <v/>
      </c>
      <c r="E238" s="15" t="str">
        <f aca="false">IF(A238="","",C238+D238)</f>
        <v/>
      </c>
      <c r="F238" s="15" t="str">
        <f aca="false">IF(A238="","",ROUND(B238-D238,2))</f>
        <v/>
      </c>
    </row>
    <row r="239" customFormat="false" ht="15" hidden="false" customHeight="false" outlineLevel="0" collapsed="false">
      <c r="A239" s="14" t="str">
        <f aca="false">IF(234&gt;$I$12,"",234)</f>
        <v/>
      </c>
      <c r="B239" s="15" t="str">
        <f aca="false">IF(A239="","",F238)</f>
        <v/>
      </c>
      <c r="C239" s="15" t="str">
        <f aca="false">IF(A239="","",ROUND(B239*$I$11,2))</f>
        <v/>
      </c>
      <c r="D239" s="15" t="str">
        <f aca="false">IF(A239="","",IF(A239=$I$12,B239,IF($I$8="Amortissement constant",$I$14,$I$13-C239)))</f>
        <v/>
      </c>
      <c r="E239" s="15" t="str">
        <f aca="false">IF(A239="","",C239+D239)</f>
        <v/>
      </c>
      <c r="F239" s="15" t="str">
        <f aca="false">IF(A239="","",ROUND(B239-D239,2))</f>
        <v/>
      </c>
    </row>
    <row r="240" customFormat="false" ht="15" hidden="false" customHeight="false" outlineLevel="0" collapsed="false">
      <c r="A240" s="14" t="str">
        <f aca="false">IF(235&gt;$I$12,"",235)</f>
        <v/>
      </c>
      <c r="B240" s="15" t="str">
        <f aca="false">IF(A240="","",F239)</f>
        <v/>
      </c>
      <c r="C240" s="15" t="str">
        <f aca="false">IF(A240="","",ROUND(B240*$I$11,2))</f>
        <v/>
      </c>
      <c r="D240" s="15" t="str">
        <f aca="false">IF(A240="","",IF(A240=$I$12,B240,IF($I$8="Amortissement constant",$I$14,$I$13-C240)))</f>
        <v/>
      </c>
      <c r="E240" s="15" t="str">
        <f aca="false">IF(A240="","",C240+D240)</f>
        <v/>
      </c>
      <c r="F240" s="15" t="str">
        <f aca="false">IF(A240="","",ROUND(B240-D240,2))</f>
        <v/>
      </c>
    </row>
    <row r="241" customFormat="false" ht="15" hidden="false" customHeight="false" outlineLevel="0" collapsed="false">
      <c r="A241" s="14" t="str">
        <f aca="false">IF(236&gt;$I$12,"",236)</f>
        <v/>
      </c>
      <c r="B241" s="15" t="str">
        <f aca="false">IF(A241="","",F240)</f>
        <v/>
      </c>
      <c r="C241" s="15" t="str">
        <f aca="false">IF(A241="","",ROUND(B241*$I$11,2))</f>
        <v/>
      </c>
      <c r="D241" s="15" t="str">
        <f aca="false">IF(A241="","",IF(A241=$I$12,B241,IF($I$8="Amortissement constant",$I$14,$I$13-C241)))</f>
        <v/>
      </c>
      <c r="E241" s="15" t="str">
        <f aca="false">IF(A241="","",C241+D241)</f>
        <v/>
      </c>
      <c r="F241" s="15" t="str">
        <f aca="false">IF(A241="","",ROUND(B241-D241,2))</f>
        <v/>
      </c>
    </row>
    <row r="242" customFormat="false" ht="15" hidden="false" customHeight="false" outlineLevel="0" collapsed="false">
      <c r="A242" s="14" t="str">
        <f aca="false">IF(237&gt;$I$12,"",237)</f>
        <v/>
      </c>
      <c r="B242" s="15" t="str">
        <f aca="false">IF(A242="","",F241)</f>
        <v/>
      </c>
      <c r="C242" s="15" t="str">
        <f aca="false">IF(A242="","",ROUND(B242*$I$11,2))</f>
        <v/>
      </c>
      <c r="D242" s="15" t="str">
        <f aca="false">IF(A242="","",IF(A242=$I$12,B242,IF($I$8="Amortissement constant",$I$14,$I$13-C242)))</f>
        <v/>
      </c>
      <c r="E242" s="15" t="str">
        <f aca="false">IF(A242="","",C242+D242)</f>
        <v/>
      </c>
      <c r="F242" s="15" t="str">
        <f aca="false">IF(A242="","",ROUND(B242-D242,2))</f>
        <v/>
      </c>
    </row>
    <row r="243" customFormat="false" ht="15" hidden="false" customHeight="false" outlineLevel="0" collapsed="false">
      <c r="A243" s="14" t="str">
        <f aca="false">IF(238&gt;$I$12,"",238)</f>
        <v/>
      </c>
      <c r="B243" s="15" t="str">
        <f aca="false">IF(A243="","",F242)</f>
        <v/>
      </c>
      <c r="C243" s="15" t="str">
        <f aca="false">IF(A243="","",ROUND(B243*$I$11,2))</f>
        <v/>
      </c>
      <c r="D243" s="15" t="str">
        <f aca="false">IF(A243="","",IF(A243=$I$12,B243,IF($I$8="Amortissement constant",$I$14,$I$13-C243)))</f>
        <v/>
      </c>
      <c r="E243" s="15" t="str">
        <f aca="false">IF(A243="","",C243+D243)</f>
        <v/>
      </c>
      <c r="F243" s="15" t="str">
        <f aca="false">IF(A243="","",ROUND(B243-D243,2))</f>
        <v/>
      </c>
    </row>
    <row r="244" customFormat="false" ht="15" hidden="false" customHeight="false" outlineLevel="0" collapsed="false">
      <c r="A244" s="14" t="str">
        <f aca="false">IF(239&gt;$I$12,"",239)</f>
        <v/>
      </c>
      <c r="B244" s="15" t="str">
        <f aca="false">IF(A244="","",F243)</f>
        <v/>
      </c>
      <c r="C244" s="15" t="str">
        <f aca="false">IF(A244="","",ROUND(B244*$I$11,2))</f>
        <v/>
      </c>
      <c r="D244" s="15" t="str">
        <f aca="false">IF(A244="","",IF(A244=$I$12,B244,IF($I$8="Amortissement constant",$I$14,$I$13-C244)))</f>
        <v/>
      </c>
      <c r="E244" s="15" t="str">
        <f aca="false">IF(A244="","",C244+D244)</f>
        <v/>
      </c>
      <c r="F244" s="15" t="str">
        <f aca="false">IF(A244="","",ROUND(B244-D244,2))</f>
        <v/>
      </c>
    </row>
    <row r="245" customFormat="false" ht="15" hidden="false" customHeight="false" outlineLevel="0" collapsed="false">
      <c r="A245" s="14" t="str">
        <f aca="false">IF(240&gt;$I$12,"",240)</f>
        <v/>
      </c>
      <c r="B245" s="15" t="str">
        <f aca="false">IF(A245="","",F244)</f>
        <v/>
      </c>
      <c r="C245" s="15" t="str">
        <f aca="false">IF(A245="","",ROUND(B245*$I$11,2))</f>
        <v/>
      </c>
      <c r="D245" s="15" t="str">
        <f aca="false">IF(A245="","",IF(A245=$I$12,B245,IF($I$8="Amortissement constant",$I$14,$I$13-C245)))</f>
        <v/>
      </c>
      <c r="E245" s="15" t="str">
        <f aca="false">IF(A245="","",C245+D245)</f>
        <v/>
      </c>
      <c r="F245" s="15" t="str">
        <f aca="false">IF(A245="","",ROUND(B245-D245,2))</f>
        <v/>
      </c>
    </row>
    <row r="246" customFormat="false" ht="15" hidden="false" customHeight="false" outlineLevel="0" collapsed="false">
      <c r="A246" s="14" t="str">
        <f aca="false">IF(241&gt;$I$12,"",241)</f>
        <v/>
      </c>
      <c r="B246" s="15" t="str">
        <f aca="false">IF(A246="","",F245)</f>
        <v/>
      </c>
      <c r="C246" s="15" t="str">
        <f aca="false">IF(A246="","",ROUND(B246*$I$11,2))</f>
        <v/>
      </c>
      <c r="D246" s="15" t="str">
        <f aca="false">IF(A246="","",IF(A246=$I$12,B246,IF($I$8="Amortissement constant",$I$14,$I$13-C246)))</f>
        <v/>
      </c>
      <c r="E246" s="15" t="str">
        <f aca="false">IF(A246="","",C246+D246)</f>
        <v/>
      </c>
      <c r="F246" s="15" t="str">
        <f aca="false">IF(A246="","",ROUND(B246-D246,2))</f>
        <v/>
      </c>
    </row>
    <row r="247" customFormat="false" ht="15" hidden="false" customHeight="false" outlineLevel="0" collapsed="false">
      <c r="A247" s="14" t="str">
        <f aca="false">IF(242&gt;$I$12,"",242)</f>
        <v/>
      </c>
      <c r="B247" s="15" t="str">
        <f aca="false">IF(A247="","",F246)</f>
        <v/>
      </c>
      <c r="C247" s="15" t="str">
        <f aca="false">IF(A247="","",ROUND(B247*$I$11,2))</f>
        <v/>
      </c>
      <c r="D247" s="15" t="str">
        <f aca="false">IF(A247="","",IF(A247=$I$12,B247,IF($I$8="Amortissement constant",$I$14,$I$13-C247)))</f>
        <v/>
      </c>
      <c r="E247" s="15" t="str">
        <f aca="false">IF(A247="","",C247+D247)</f>
        <v/>
      </c>
      <c r="F247" s="15" t="str">
        <f aca="false">IF(A247="","",ROUND(B247-D247,2))</f>
        <v/>
      </c>
    </row>
    <row r="248" customFormat="false" ht="15" hidden="false" customHeight="false" outlineLevel="0" collapsed="false">
      <c r="A248" s="14" t="str">
        <f aca="false">IF(243&gt;$I$12,"",243)</f>
        <v/>
      </c>
      <c r="B248" s="15" t="str">
        <f aca="false">IF(A248="","",F247)</f>
        <v/>
      </c>
      <c r="C248" s="15" t="str">
        <f aca="false">IF(A248="","",ROUND(B248*$I$11,2))</f>
        <v/>
      </c>
      <c r="D248" s="15" t="str">
        <f aca="false">IF(A248="","",IF(A248=$I$12,B248,IF($I$8="Amortissement constant",$I$14,$I$13-C248)))</f>
        <v/>
      </c>
      <c r="E248" s="15" t="str">
        <f aca="false">IF(A248="","",C248+D248)</f>
        <v/>
      </c>
      <c r="F248" s="15" t="str">
        <f aca="false">IF(A248="","",ROUND(B248-D248,2))</f>
        <v/>
      </c>
    </row>
    <row r="249" customFormat="false" ht="15" hidden="false" customHeight="false" outlineLevel="0" collapsed="false">
      <c r="A249" s="14" t="str">
        <f aca="false">IF(244&gt;$I$12,"",244)</f>
        <v/>
      </c>
      <c r="B249" s="15" t="str">
        <f aca="false">IF(A249="","",F248)</f>
        <v/>
      </c>
      <c r="C249" s="15" t="str">
        <f aca="false">IF(A249="","",ROUND(B249*$I$11,2))</f>
        <v/>
      </c>
      <c r="D249" s="15" t="str">
        <f aca="false">IF(A249="","",IF(A249=$I$12,B249,IF($I$8="Amortissement constant",$I$14,$I$13-C249)))</f>
        <v/>
      </c>
      <c r="E249" s="15" t="str">
        <f aca="false">IF(A249="","",C249+D249)</f>
        <v/>
      </c>
      <c r="F249" s="15" t="str">
        <f aca="false">IF(A249="","",ROUND(B249-D249,2))</f>
        <v/>
      </c>
    </row>
    <row r="250" customFormat="false" ht="15" hidden="false" customHeight="false" outlineLevel="0" collapsed="false">
      <c r="A250" s="14" t="str">
        <f aca="false">IF(245&gt;$I$12,"",245)</f>
        <v/>
      </c>
      <c r="B250" s="15" t="str">
        <f aca="false">IF(A250="","",F249)</f>
        <v/>
      </c>
      <c r="C250" s="15" t="str">
        <f aca="false">IF(A250="","",ROUND(B250*$I$11,2))</f>
        <v/>
      </c>
      <c r="D250" s="15" t="str">
        <f aca="false">IF(A250="","",IF(A250=$I$12,B250,IF($I$8="Amortissement constant",$I$14,$I$13-C250)))</f>
        <v/>
      </c>
      <c r="E250" s="15" t="str">
        <f aca="false">IF(A250="","",C250+D250)</f>
        <v/>
      </c>
      <c r="F250" s="15" t="str">
        <f aca="false">IF(A250="","",ROUND(B250-D250,2))</f>
        <v/>
      </c>
    </row>
    <row r="251" customFormat="false" ht="15" hidden="false" customHeight="false" outlineLevel="0" collapsed="false">
      <c r="A251" s="14" t="str">
        <f aca="false">IF(246&gt;$I$12,"",246)</f>
        <v/>
      </c>
      <c r="B251" s="15" t="str">
        <f aca="false">IF(A251="","",F250)</f>
        <v/>
      </c>
      <c r="C251" s="15" t="str">
        <f aca="false">IF(A251="","",ROUND(B251*$I$11,2))</f>
        <v/>
      </c>
      <c r="D251" s="15" t="str">
        <f aca="false">IF(A251="","",IF(A251=$I$12,B251,IF($I$8="Amortissement constant",$I$14,$I$13-C251)))</f>
        <v/>
      </c>
      <c r="E251" s="15" t="str">
        <f aca="false">IF(A251="","",C251+D251)</f>
        <v/>
      </c>
      <c r="F251" s="15" t="str">
        <f aca="false">IF(A251="","",ROUND(B251-D251,2))</f>
        <v/>
      </c>
    </row>
    <row r="252" customFormat="false" ht="15" hidden="false" customHeight="false" outlineLevel="0" collapsed="false">
      <c r="A252" s="14" t="str">
        <f aca="false">IF(247&gt;$I$12,"",247)</f>
        <v/>
      </c>
      <c r="B252" s="15" t="str">
        <f aca="false">IF(A252="","",F251)</f>
        <v/>
      </c>
      <c r="C252" s="15" t="str">
        <f aca="false">IF(A252="","",ROUND(B252*$I$11,2))</f>
        <v/>
      </c>
      <c r="D252" s="15" t="str">
        <f aca="false">IF(A252="","",IF(A252=$I$12,B252,IF($I$8="Amortissement constant",$I$14,$I$13-C252)))</f>
        <v/>
      </c>
      <c r="E252" s="15" t="str">
        <f aca="false">IF(A252="","",C252+D252)</f>
        <v/>
      </c>
      <c r="F252" s="15" t="str">
        <f aca="false">IF(A252="","",ROUND(B252-D252,2))</f>
        <v/>
      </c>
    </row>
    <row r="253" customFormat="false" ht="15" hidden="false" customHeight="false" outlineLevel="0" collapsed="false">
      <c r="A253" s="14" t="str">
        <f aca="false">IF(248&gt;$I$12,"",248)</f>
        <v/>
      </c>
      <c r="B253" s="15" t="str">
        <f aca="false">IF(A253="","",F252)</f>
        <v/>
      </c>
      <c r="C253" s="15" t="str">
        <f aca="false">IF(A253="","",ROUND(B253*$I$11,2))</f>
        <v/>
      </c>
      <c r="D253" s="15" t="str">
        <f aca="false">IF(A253="","",IF(A253=$I$12,B253,IF($I$8="Amortissement constant",$I$14,$I$13-C253)))</f>
        <v/>
      </c>
      <c r="E253" s="15" t="str">
        <f aca="false">IF(A253="","",C253+D253)</f>
        <v/>
      </c>
      <c r="F253" s="15" t="str">
        <f aca="false">IF(A253="","",ROUND(B253-D253,2))</f>
        <v/>
      </c>
    </row>
    <row r="254" customFormat="false" ht="15" hidden="false" customHeight="false" outlineLevel="0" collapsed="false">
      <c r="A254" s="14" t="str">
        <f aca="false">IF(249&gt;$I$12,"",249)</f>
        <v/>
      </c>
      <c r="B254" s="15" t="str">
        <f aca="false">IF(A254="","",F253)</f>
        <v/>
      </c>
      <c r="C254" s="15" t="str">
        <f aca="false">IF(A254="","",ROUND(B254*$I$11,2))</f>
        <v/>
      </c>
      <c r="D254" s="15" t="str">
        <f aca="false">IF(A254="","",IF(A254=$I$12,B254,IF($I$8="Amortissement constant",$I$14,$I$13-C254)))</f>
        <v/>
      </c>
      <c r="E254" s="15" t="str">
        <f aca="false">IF(A254="","",C254+D254)</f>
        <v/>
      </c>
      <c r="F254" s="15" t="str">
        <f aca="false">IF(A254="","",ROUND(B254-D254,2))</f>
        <v/>
      </c>
    </row>
    <row r="255" customFormat="false" ht="15" hidden="false" customHeight="false" outlineLevel="0" collapsed="false">
      <c r="A255" s="14" t="str">
        <f aca="false">IF(250&gt;$I$12,"",250)</f>
        <v/>
      </c>
      <c r="B255" s="15" t="str">
        <f aca="false">IF(A255="","",F254)</f>
        <v/>
      </c>
      <c r="C255" s="15" t="str">
        <f aca="false">IF(A255="","",ROUND(B255*$I$11,2))</f>
        <v/>
      </c>
      <c r="D255" s="15" t="str">
        <f aca="false">IF(A255="","",IF(A255=$I$12,B255,IF($I$8="Amortissement constant",$I$14,$I$13-C255)))</f>
        <v/>
      </c>
      <c r="E255" s="15" t="str">
        <f aca="false">IF(A255="","",C255+D255)</f>
        <v/>
      </c>
      <c r="F255" s="15" t="str">
        <f aca="false">IF(A255="","",ROUND(B255-D255,2))</f>
        <v/>
      </c>
    </row>
    <row r="256" customFormat="false" ht="15" hidden="false" customHeight="false" outlineLevel="0" collapsed="false">
      <c r="A256" s="14" t="str">
        <f aca="false">IF(251&gt;$I$12,"",251)</f>
        <v/>
      </c>
      <c r="B256" s="15" t="str">
        <f aca="false">IF(A256="","",F255)</f>
        <v/>
      </c>
      <c r="C256" s="15" t="str">
        <f aca="false">IF(A256="","",ROUND(B256*$I$11,2))</f>
        <v/>
      </c>
      <c r="D256" s="15" t="str">
        <f aca="false">IF(A256="","",IF(A256=$I$12,B256,IF($I$8="Amortissement constant",$I$14,$I$13-C256)))</f>
        <v/>
      </c>
      <c r="E256" s="15" t="str">
        <f aca="false">IF(A256="","",C256+D256)</f>
        <v/>
      </c>
      <c r="F256" s="15" t="str">
        <f aca="false">IF(A256="","",ROUND(B256-D256,2))</f>
        <v/>
      </c>
    </row>
    <row r="257" customFormat="false" ht="15" hidden="false" customHeight="false" outlineLevel="0" collapsed="false">
      <c r="A257" s="14" t="str">
        <f aca="false">IF(252&gt;$I$12,"",252)</f>
        <v/>
      </c>
      <c r="B257" s="15" t="str">
        <f aca="false">IF(A257="","",F256)</f>
        <v/>
      </c>
      <c r="C257" s="15" t="str">
        <f aca="false">IF(A257="","",ROUND(B257*$I$11,2))</f>
        <v/>
      </c>
      <c r="D257" s="15" t="str">
        <f aca="false">IF(A257="","",IF(A257=$I$12,B257,IF($I$8="Amortissement constant",$I$14,$I$13-C257)))</f>
        <v/>
      </c>
      <c r="E257" s="15" t="str">
        <f aca="false">IF(A257="","",C257+D257)</f>
        <v/>
      </c>
      <c r="F257" s="15" t="str">
        <f aca="false">IF(A257="","",ROUND(B257-D257,2))</f>
        <v/>
      </c>
    </row>
    <row r="258" customFormat="false" ht="15" hidden="false" customHeight="false" outlineLevel="0" collapsed="false">
      <c r="A258" s="14" t="str">
        <f aca="false">IF(253&gt;$I$12,"",253)</f>
        <v/>
      </c>
      <c r="B258" s="15" t="str">
        <f aca="false">IF(A258="","",F257)</f>
        <v/>
      </c>
      <c r="C258" s="15" t="str">
        <f aca="false">IF(A258="","",ROUND(B258*$I$11,2))</f>
        <v/>
      </c>
      <c r="D258" s="15" t="str">
        <f aca="false">IF(A258="","",IF(A258=$I$12,B258,IF($I$8="Amortissement constant",$I$14,$I$13-C258)))</f>
        <v/>
      </c>
      <c r="E258" s="15" t="str">
        <f aca="false">IF(A258="","",C258+D258)</f>
        <v/>
      </c>
      <c r="F258" s="15" t="str">
        <f aca="false">IF(A258="","",ROUND(B258-D258,2))</f>
        <v/>
      </c>
    </row>
    <row r="259" customFormat="false" ht="15" hidden="false" customHeight="false" outlineLevel="0" collapsed="false">
      <c r="A259" s="14" t="str">
        <f aca="false">IF(254&gt;$I$12,"",254)</f>
        <v/>
      </c>
      <c r="B259" s="15" t="str">
        <f aca="false">IF(A259="","",F258)</f>
        <v/>
      </c>
      <c r="C259" s="15" t="str">
        <f aca="false">IF(A259="","",ROUND(B259*$I$11,2))</f>
        <v/>
      </c>
      <c r="D259" s="15" t="str">
        <f aca="false">IF(A259="","",IF(A259=$I$12,B259,IF($I$8="Amortissement constant",$I$14,$I$13-C259)))</f>
        <v/>
      </c>
      <c r="E259" s="15" t="str">
        <f aca="false">IF(A259="","",C259+D259)</f>
        <v/>
      </c>
      <c r="F259" s="15" t="str">
        <f aca="false">IF(A259="","",ROUND(B259-D259,2))</f>
        <v/>
      </c>
    </row>
    <row r="260" customFormat="false" ht="15" hidden="false" customHeight="false" outlineLevel="0" collapsed="false">
      <c r="A260" s="14" t="str">
        <f aca="false">IF(255&gt;$I$12,"",255)</f>
        <v/>
      </c>
      <c r="B260" s="15" t="str">
        <f aca="false">IF(A260="","",F259)</f>
        <v/>
      </c>
      <c r="C260" s="15" t="str">
        <f aca="false">IF(A260="","",ROUND(B260*$I$11,2))</f>
        <v/>
      </c>
      <c r="D260" s="15" t="str">
        <f aca="false">IF(A260="","",IF(A260=$I$12,B260,IF($I$8="Amortissement constant",$I$14,$I$13-C260)))</f>
        <v/>
      </c>
      <c r="E260" s="15" t="str">
        <f aca="false">IF(A260="","",C260+D260)</f>
        <v/>
      </c>
      <c r="F260" s="15" t="str">
        <f aca="false">IF(A260="","",ROUND(B260-D260,2))</f>
        <v/>
      </c>
    </row>
    <row r="261" customFormat="false" ht="15" hidden="false" customHeight="false" outlineLevel="0" collapsed="false">
      <c r="A261" s="14" t="str">
        <f aca="false">IF(256&gt;$I$12,"",256)</f>
        <v/>
      </c>
      <c r="B261" s="15" t="str">
        <f aca="false">IF(A261="","",F260)</f>
        <v/>
      </c>
      <c r="C261" s="15" t="str">
        <f aca="false">IF(A261="","",ROUND(B261*$I$11,2))</f>
        <v/>
      </c>
      <c r="D261" s="15" t="str">
        <f aca="false">IF(A261="","",IF(A261=$I$12,B261,IF($I$8="Amortissement constant",$I$14,$I$13-C261)))</f>
        <v/>
      </c>
      <c r="E261" s="15" t="str">
        <f aca="false">IF(A261="","",C261+D261)</f>
        <v/>
      </c>
      <c r="F261" s="15" t="str">
        <f aca="false">IF(A261="","",ROUND(B261-D261,2))</f>
        <v/>
      </c>
    </row>
    <row r="262" customFormat="false" ht="15" hidden="false" customHeight="false" outlineLevel="0" collapsed="false">
      <c r="A262" s="14" t="str">
        <f aca="false">IF(257&gt;$I$12,"",257)</f>
        <v/>
      </c>
      <c r="B262" s="15" t="str">
        <f aca="false">IF(A262="","",F261)</f>
        <v/>
      </c>
      <c r="C262" s="15" t="str">
        <f aca="false">IF(A262="","",ROUND(B262*$I$11,2))</f>
        <v/>
      </c>
      <c r="D262" s="15" t="str">
        <f aca="false">IF(A262="","",IF(A262=$I$12,B262,IF($I$8="Amortissement constant",$I$14,$I$13-C262)))</f>
        <v/>
      </c>
      <c r="E262" s="15" t="str">
        <f aca="false">IF(A262="","",C262+D262)</f>
        <v/>
      </c>
      <c r="F262" s="15" t="str">
        <f aca="false">IF(A262="","",ROUND(B262-D262,2))</f>
        <v/>
      </c>
    </row>
    <row r="263" customFormat="false" ht="15" hidden="false" customHeight="false" outlineLevel="0" collapsed="false">
      <c r="A263" s="14" t="str">
        <f aca="false">IF(258&gt;$I$12,"",258)</f>
        <v/>
      </c>
      <c r="B263" s="15" t="str">
        <f aca="false">IF(A263="","",F262)</f>
        <v/>
      </c>
      <c r="C263" s="15" t="str">
        <f aca="false">IF(A263="","",ROUND(B263*$I$11,2))</f>
        <v/>
      </c>
      <c r="D263" s="15" t="str">
        <f aca="false">IF(A263="","",IF(A263=$I$12,B263,IF($I$8="Amortissement constant",$I$14,$I$13-C263)))</f>
        <v/>
      </c>
      <c r="E263" s="15" t="str">
        <f aca="false">IF(A263="","",C263+D263)</f>
        <v/>
      </c>
      <c r="F263" s="15" t="str">
        <f aca="false">IF(A263="","",ROUND(B263-D263,2))</f>
        <v/>
      </c>
    </row>
    <row r="264" customFormat="false" ht="15" hidden="false" customHeight="false" outlineLevel="0" collapsed="false">
      <c r="A264" s="14" t="str">
        <f aca="false">IF(259&gt;$I$12,"",259)</f>
        <v/>
      </c>
      <c r="B264" s="15" t="str">
        <f aca="false">IF(A264="","",F263)</f>
        <v/>
      </c>
      <c r="C264" s="15" t="str">
        <f aca="false">IF(A264="","",ROUND(B264*$I$11,2))</f>
        <v/>
      </c>
      <c r="D264" s="15" t="str">
        <f aca="false">IF(A264="","",IF(A264=$I$12,B264,IF($I$8="Amortissement constant",$I$14,$I$13-C264)))</f>
        <v/>
      </c>
      <c r="E264" s="15" t="str">
        <f aca="false">IF(A264="","",C264+D264)</f>
        <v/>
      </c>
      <c r="F264" s="15" t="str">
        <f aca="false">IF(A264="","",ROUND(B264-D264,2))</f>
        <v/>
      </c>
    </row>
    <row r="265" customFormat="false" ht="15" hidden="false" customHeight="false" outlineLevel="0" collapsed="false">
      <c r="A265" s="14" t="str">
        <f aca="false">IF(260&gt;$I$12,"",260)</f>
        <v/>
      </c>
      <c r="B265" s="15" t="str">
        <f aca="false">IF(A265="","",F264)</f>
        <v/>
      </c>
      <c r="C265" s="15" t="str">
        <f aca="false">IF(A265="","",ROUND(B265*$I$11,2))</f>
        <v/>
      </c>
      <c r="D265" s="15" t="str">
        <f aca="false">IF(A265="","",IF(A265=$I$12,B265,IF($I$8="Amortissement constant",$I$14,$I$13-C265)))</f>
        <v/>
      </c>
      <c r="E265" s="15" t="str">
        <f aca="false">IF(A265="","",C265+D265)</f>
        <v/>
      </c>
      <c r="F265" s="15" t="str">
        <f aca="false">IF(A265="","",ROUND(B265-D265,2))</f>
        <v/>
      </c>
    </row>
    <row r="266" customFormat="false" ht="15" hidden="false" customHeight="false" outlineLevel="0" collapsed="false">
      <c r="A266" s="14" t="str">
        <f aca="false">IF(261&gt;$I$12,"",261)</f>
        <v/>
      </c>
      <c r="B266" s="15" t="str">
        <f aca="false">IF(A266="","",F265)</f>
        <v/>
      </c>
      <c r="C266" s="15" t="str">
        <f aca="false">IF(A266="","",ROUND(B266*$I$11,2))</f>
        <v/>
      </c>
      <c r="D266" s="15" t="str">
        <f aca="false">IF(A266="","",IF(A266=$I$12,B266,IF($I$8="Amortissement constant",$I$14,$I$13-C266)))</f>
        <v/>
      </c>
      <c r="E266" s="15" t="str">
        <f aca="false">IF(A266="","",C266+D266)</f>
        <v/>
      </c>
      <c r="F266" s="15" t="str">
        <f aca="false">IF(A266="","",ROUND(B266-D266,2))</f>
        <v/>
      </c>
    </row>
    <row r="267" customFormat="false" ht="15" hidden="false" customHeight="false" outlineLevel="0" collapsed="false">
      <c r="A267" s="14" t="str">
        <f aca="false">IF(262&gt;$I$12,"",262)</f>
        <v/>
      </c>
      <c r="B267" s="15" t="str">
        <f aca="false">IF(A267="","",F266)</f>
        <v/>
      </c>
      <c r="C267" s="15" t="str">
        <f aca="false">IF(A267="","",ROUND(B267*$I$11,2))</f>
        <v/>
      </c>
      <c r="D267" s="15" t="str">
        <f aca="false">IF(A267="","",IF(A267=$I$12,B267,IF($I$8="Amortissement constant",$I$14,$I$13-C267)))</f>
        <v/>
      </c>
      <c r="E267" s="15" t="str">
        <f aca="false">IF(A267="","",C267+D267)</f>
        <v/>
      </c>
      <c r="F267" s="15" t="str">
        <f aca="false">IF(A267="","",ROUND(B267-D267,2))</f>
        <v/>
      </c>
    </row>
    <row r="268" customFormat="false" ht="15" hidden="false" customHeight="false" outlineLevel="0" collapsed="false">
      <c r="A268" s="14" t="str">
        <f aca="false">IF(263&gt;$I$12,"",263)</f>
        <v/>
      </c>
      <c r="B268" s="15" t="str">
        <f aca="false">IF(A268="","",F267)</f>
        <v/>
      </c>
      <c r="C268" s="15" t="str">
        <f aca="false">IF(A268="","",ROUND(B268*$I$11,2))</f>
        <v/>
      </c>
      <c r="D268" s="15" t="str">
        <f aca="false">IF(A268="","",IF(A268=$I$12,B268,IF($I$8="Amortissement constant",$I$14,$I$13-C268)))</f>
        <v/>
      </c>
      <c r="E268" s="15" t="str">
        <f aca="false">IF(A268="","",C268+D268)</f>
        <v/>
      </c>
      <c r="F268" s="15" t="str">
        <f aca="false">IF(A268="","",ROUND(B268-D268,2))</f>
        <v/>
      </c>
    </row>
    <row r="269" customFormat="false" ht="15" hidden="false" customHeight="false" outlineLevel="0" collapsed="false">
      <c r="A269" s="14" t="str">
        <f aca="false">IF(264&gt;$I$12,"",264)</f>
        <v/>
      </c>
      <c r="B269" s="15" t="str">
        <f aca="false">IF(A269="","",F268)</f>
        <v/>
      </c>
      <c r="C269" s="15" t="str">
        <f aca="false">IF(A269="","",ROUND(B269*$I$11,2))</f>
        <v/>
      </c>
      <c r="D269" s="15" t="str">
        <f aca="false">IF(A269="","",IF(A269=$I$12,B269,IF($I$8="Amortissement constant",$I$14,$I$13-C269)))</f>
        <v/>
      </c>
      <c r="E269" s="15" t="str">
        <f aca="false">IF(A269="","",C269+D269)</f>
        <v/>
      </c>
      <c r="F269" s="15" t="str">
        <f aca="false">IF(A269="","",ROUND(B269-D269,2))</f>
        <v/>
      </c>
    </row>
    <row r="270" customFormat="false" ht="15" hidden="false" customHeight="false" outlineLevel="0" collapsed="false">
      <c r="A270" s="14" t="str">
        <f aca="false">IF(265&gt;$I$12,"",265)</f>
        <v/>
      </c>
      <c r="B270" s="15" t="str">
        <f aca="false">IF(A270="","",F269)</f>
        <v/>
      </c>
      <c r="C270" s="15" t="str">
        <f aca="false">IF(A270="","",ROUND(B270*$I$11,2))</f>
        <v/>
      </c>
      <c r="D270" s="15" t="str">
        <f aca="false">IF(A270="","",IF(A270=$I$12,B270,IF($I$8="Amortissement constant",$I$14,$I$13-C270)))</f>
        <v/>
      </c>
      <c r="E270" s="15" t="str">
        <f aca="false">IF(A270="","",C270+D270)</f>
        <v/>
      </c>
      <c r="F270" s="15" t="str">
        <f aca="false">IF(A270="","",ROUND(B270-D270,2))</f>
        <v/>
      </c>
    </row>
    <row r="271" customFormat="false" ht="15" hidden="false" customHeight="false" outlineLevel="0" collapsed="false">
      <c r="A271" s="14" t="str">
        <f aca="false">IF(266&gt;$I$12,"",266)</f>
        <v/>
      </c>
      <c r="B271" s="15" t="str">
        <f aca="false">IF(A271="","",F270)</f>
        <v/>
      </c>
      <c r="C271" s="15" t="str">
        <f aca="false">IF(A271="","",ROUND(B271*$I$11,2))</f>
        <v/>
      </c>
      <c r="D271" s="15" t="str">
        <f aca="false">IF(A271="","",IF(A271=$I$12,B271,IF($I$8="Amortissement constant",$I$14,$I$13-C271)))</f>
        <v/>
      </c>
      <c r="E271" s="15" t="str">
        <f aca="false">IF(A271="","",C271+D271)</f>
        <v/>
      </c>
      <c r="F271" s="15" t="str">
        <f aca="false">IF(A271="","",ROUND(B271-D271,2))</f>
        <v/>
      </c>
    </row>
    <row r="272" customFormat="false" ht="15" hidden="false" customHeight="false" outlineLevel="0" collapsed="false">
      <c r="A272" s="14" t="str">
        <f aca="false">IF(267&gt;$I$12,"",267)</f>
        <v/>
      </c>
      <c r="B272" s="15" t="str">
        <f aca="false">IF(A272="","",F271)</f>
        <v/>
      </c>
      <c r="C272" s="15" t="str">
        <f aca="false">IF(A272="","",ROUND(B272*$I$11,2))</f>
        <v/>
      </c>
      <c r="D272" s="15" t="str">
        <f aca="false">IF(A272="","",IF(A272=$I$12,B272,IF($I$8="Amortissement constant",$I$14,$I$13-C272)))</f>
        <v/>
      </c>
      <c r="E272" s="15" t="str">
        <f aca="false">IF(A272="","",C272+D272)</f>
        <v/>
      </c>
      <c r="F272" s="15" t="str">
        <f aca="false">IF(A272="","",ROUND(B272-D272,2))</f>
        <v/>
      </c>
    </row>
    <row r="273" customFormat="false" ht="15" hidden="false" customHeight="false" outlineLevel="0" collapsed="false">
      <c r="A273" s="14" t="str">
        <f aca="false">IF(268&gt;$I$12,"",268)</f>
        <v/>
      </c>
      <c r="B273" s="15" t="str">
        <f aca="false">IF(A273="","",F272)</f>
        <v/>
      </c>
      <c r="C273" s="15" t="str">
        <f aca="false">IF(A273="","",ROUND(B273*$I$11,2))</f>
        <v/>
      </c>
      <c r="D273" s="15" t="str">
        <f aca="false">IF(A273="","",IF(A273=$I$12,B273,IF($I$8="Amortissement constant",$I$14,$I$13-C273)))</f>
        <v/>
      </c>
      <c r="E273" s="15" t="str">
        <f aca="false">IF(A273="","",C273+D273)</f>
        <v/>
      </c>
      <c r="F273" s="15" t="str">
        <f aca="false">IF(A273="","",ROUND(B273-D273,2))</f>
        <v/>
      </c>
    </row>
    <row r="274" customFormat="false" ht="15" hidden="false" customHeight="false" outlineLevel="0" collapsed="false">
      <c r="A274" s="14" t="str">
        <f aca="false">IF(269&gt;$I$12,"",269)</f>
        <v/>
      </c>
      <c r="B274" s="15" t="str">
        <f aca="false">IF(A274="","",F273)</f>
        <v/>
      </c>
      <c r="C274" s="15" t="str">
        <f aca="false">IF(A274="","",ROUND(B274*$I$11,2))</f>
        <v/>
      </c>
      <c r="D274" s="15" t="str">
        <f aca="false">IF(A274="","",IF(A274=$I$12,B274,IF($I$8="Amortissement constant",$I$14,$I$13-C274)))</f>
        <v/>
      </c>
      <c r="E274" s="15" t="str">
        <f aca="false">IF(A274="","",C274+D274)</f>
        <v/>
      </c>
      <c r="F274" s="15" t="str">
        <f aca="false">IF(A274="","",ROUND(B274-D274,2))</f>
        <v/>
      </c>
    </row>
    <row r="275" customFormat="false" ht="15" hidden="false" customHeight="false" outlineLevel="0" collapsed="false">
      <c r="A275" s="14" t="str">
        <f aca="false">IF(270&gt;$I$12,"",270)</f>
        <v/>
      </c>
      <c r="B275" s="15" t="str">
        <f aca="false">IF(A275="","",F274)</f>
        <v/>
      </c>
      <c r="C275" s="15" t="str">
        <f aca="false">IF(A275="","",ROUND(B275*$I$11,2))</f>
        <v/>
      </c>
      <c r="D275" s="15" t="str">
        <f aca="false">IF(A275="","",IF(A275=$I$12,B275,IF($I$8="Amortissement constant",$I$14,$I$13-C275)))</f>
        <v/>
      </c>
      <c r="E275" s="15" t="str">
        <f aca="false">IF(A275="","",C275+D275)</f>
        <v/>
      </c>
      <c r="F275" s="15" t="str">
        <f aca="false">IF(A275="","",ROUND(B275-D275,2))</f>
        <v/>
      </c>
    </row>
    <row r="276" customFormat="false" ht="15" hidden="false" customHeight="false" outlineLevel="0" collapsed="false">
      <c r="A276" s="14" t="str">
        <f aca="false">IF(271&gt;$I$12,"",271)</f>
        <v/>
      </c>
      <c r="B276" s="15" t="str">
        <f aca="false">IF(A276="","",F275)</f>
        <v/>
      </c>
      <c r="C276" s="15" t="str">
        <f aca="false">IF(A276="","",ROUND(B276*$I$11,2))</f>
        <v/>
      </c>
      <c r="D276" s="15" t="str">
        <f aca="false">IF(A276="","",IF(A276=$I$12,B276,IF($I$8="Amortissement constant",$I$14,$I$13-C276)))</f>
        <v/>
      </c>
      <c r="E276" s="15" t="str">
        <f aca="false">IF(A276="","",C276+D276)</f>
        <v/>
      </c>
      <c r="F276" s="15" t="str">
        <f aca="false">IF(A276="","",ROUND(B276-D276,2))</f>
        <v/>
      </c>
    </row>
    <row r="277" customFormat="false" ht="15" hidden="false" customHeight="false" outlineLevel="0" collapsed="false">
      <c r="A277" s="14" t="str">
        <f aca="false">IF(272&gt;$I$12,"",272)</f>
        <v/>
      </c>
      <c r="B277" s="15" t="str">
        <f aca="false">IF(A277="","",F276)</f>
        <v/>
      </c>
      <c r="C277" s="15" t="str">
        <f aca="false">IF(A277="","",ROUND(B277*$I$11,2))</f>
        <v/>
      </c>
      <c r="D277" s="15" t="str">
        <f aca="false">IF(A277="","",IF(A277=$I$12,B277,IF($I$8="Amortissement constant",$I$14,$I$13-C277)))</f>
        <v/>
      </c>
      <c r="E277" s="15" t="str">
        <f aca="false">IF(A277="","",C277+D277)</f>
        <v/>
      </c>
      <c r="F277" s="15" t="str">
        <f aca="false">IF(A277="","",ROUND(B277-D277,2))</f>
        <v/>
      </c>
    </row>
    <row r="278" customFormat="false" ht="15" hidden="false" customHeight="false" outlineLevel="0" collapsed="false">
      <c r="A278" s="14" t="str">
        <f aca="false">IF(273&gt;$I$12,"",273)</f>
        <v/>
      </c>
      <c r="B278" s="15" t="str">
        <f aca="false">IF(A278="","",F277)</f>
        <v/>
      </c>
      <c r="C278" s="15" t="str">
        <f aca="false">IF(A278="","",ROUND(B278*$I$11,2))</f>
        <v/>
      </c>
      <c r="D278" s="15" t="str">
        <f aca="false">IF(A278="","",IF(A278=$I$12,B278,IF($I$8="Amortissement constant",$I$14,$I$13-C278)))</f>
        <v/>
      </c>
      <c r="E278" s="15" t="str">
        <f aca="false">IF(A278="","",C278+D278)</f>
        <v/>
      </c>
      <c r="F278" s="15" t="str">
        <f aca="false">IF(A278="","",ROUND(B278-D278,2))</f>
        <v/>
      </c>
    </row>
    <row r="279" customFormat="false" ht="15" hidden="false" customHeight="false" outlineLevel="0" collapsed="false">
      <c r="A279" s="14" t="str">
        <f aca="false">IF(274&gt;$I$12,"",274)</f>
        <v/>
      </c>
      <c r="B279" s="15" t="str">
        <f aca="false">IF(A279="","",F278)</f>
        <v/>
      </c>
      <c r="C279" s="15" t="str">
        <f aca="false">IF(A279="","",ROUND(B279*$I$11,2))</f>
        <v/>
      </c>
      <c r="D279" s="15" t="str">
        <f aca="false">IF(A279="","",IF(A279=$I$12,B279,IF($I$8="Amortissement constant",$I$14,$I$13-C279)))</f>
        <v/>
      </c>
      <c r="E279" s="15" t="str">
        <f aca="false">IF(A279="","",C279+D279)</f>
        <v/>
      </c>
      <c r="F279" s="15" t="str">
        <f aca="false">IF(A279="","",ROUND(B279-D279,2))</f>
        <v/>
      </c>
    </row>
    <row r="280" customFormat="false" ht="15" hidden="false" customHeight="false" outlineLevel="0" collapsed="false">
      <c r="A280" s="14" t="str">
        <f aca="false">IF(275&gt;$I$12,"",275)</f>
        <v/>
      </c>
      <c r="B280" s="15" t="str">
        <f aca="false">IF(A280="","",F279)</f>
        <v/>
      </c>
      <c r="C280" s="15" t="str">
        <f aca="false">IF(A280="","",ROUND(B280*$I$11,2))</f>
        <v/>
      </c>
      <c r="D280" s="15" t="str">
        <f aca="false">IF(A280="","",IF(A280=$I$12,B280,IF($I$8="Amortissement constant",$I$14,$I$13-C280)))</f>
        <v/>
      </c>
      <c r="E280" s="15" t="str">
        <f aca="false">IF(A280="","",C280+D280)</f>
        <v/>
      </c>
      <c r="F280" s="15" t="str">
        <f aca="false">IF(A280="","",ROUND(B280-D280,2))</f>
        <v/>
      </c>
    </row>
    <row r="281" customFormat="false" ht="15" hidden="false" customHeight="false" outlineLevel="0" collapsed="false">
      <c r="A281" s="14" t="str">
        <f aca="false">IF(276&gt;$I$12,"",276)</f>
        <v/>
      </c>
      <c r="B281" s="15" t="str">
        <f aca="false">IF(A281="","",F280)</f>
        <v/>
      </c>
      <c r="C281" s="15" t="str">
        <f aca="false">IF(A281="","",ROUND(B281*$I$11,2))</f>
        <v/>
      </c>
      <c r="D281" s="15" t="str">
        <f aca="false">IF(A281="","",IF(A281=$I$12,B281,IF($I$8="Amortissement constant",$I$14,$I$13-C281)))</f>
        <v/>
      </c>
      <c r="E281" s="15" t="str">
        <f aca="false">IF(A281="","",C281+D281)</f>
        <v/>
      </c>
      <c r="F281" s="15" t="str">
        <f aca="false">IF(A281="","",ROUND(B281-D281,2))</f>
        <v/>
      </c>
    </row>
    <row r="282" customFormat="false" ht="15" hidden="false" customHeight="false" outlineLevel="0" collapsed="false">
      <c r="A282" s="14" t="str">
        <f aca="false">IF(277&gt;$I$12,"",277)</f>
        <v/>
      </c>
      <c r="B282" s="15" t="str">
        <f aca="false">IF(A282="","",F281)</f>
        <v/>
      </c>
      <c r="C282" s="15" t="str">
        <f aca="false">IF(A282="","",ROUND(B282*$I$11,2))</f>
        <v/>
      </c>
      <c r="D282" s="15" t="str">
        <f aca="false">IF(A282="","",IF(A282=$I$12,B282,IF($I$8="Amortissement constant",$I$14,$I$13-C282)))</f>
        <v/>
      </c>
      <c r="E282" s="15" t="str">
        <f aca="false">IF(A282="","",C282+D282)</f>
        <v/>
      </c>
      <c r="F282" s="15" t="str">
        <f aca="false">IF(A282="","",ROUND(B282-D282,2))</f>
        <v/>
      </c>
    </row>
    <row r="283" customFormat="false" ht="15" hidden="false" customHeight="false" outlineLevel="0" collapsed="false">
      <c r="A283" s="14" t="str">
        <f aca="false">IF(278&gt;$I$12,"",278)</f>
        <v/>
      </c>
      <c r="B283" s="15" t="str">
        <f aca="false">IF(A283="","",F282)</f>
        <v/>
      </c>
      <c r="C283" s="15" t="str">
        <f aca="false">IF(A283="","",ROUND(B283*$I$11,2))</f>
        <v/>
      </c>
      <c r="D283" s="15" t="str">
        <f aca="false">IF(A283="","",IF(A283=$I$12,B283,IF($I$8="Amortissement constant",$I$14,$I$13-C283)))</f>
        <v/>
      </c>
      <c r="E283" s="15" t="str">
        <f aca="false">IF(A283="","",C283+D283)</f>
        <v/>
      </c>
      <c r="F283" s="15" t="str">
        <f aca="false">IF(A283="","",ROUND(B283-D283,2))</f>
        <v/>
      </c>
    </row>
    <row r="284" customFormat="false" ht="15" hidden="false" customHeight="false" outlineLevel="0" collapsed="false">
      <c r="A284" s="14" t="str">
        <f aca="false">IF(279&gt;$I$12,"",279)</f>
        <v/>
      </c>
      <c r="B284" s="15" t="str">
        <f aca="false">IF(A284="","",F283)</f>
        <v/>
      </c>
      <c r="C284" s="15" t="str">
        <f aca="false">IF(A284="","",ROUND(B284*$I$11,2))</f>
        <v/>
      </c>
      <c r="D284" s="15" t="str">
        <f aca="false">IF(A284="","",IF(A284=$I$12,B284,IF($I$8="Amortissement constant",$I$14,$I$13-C284)))</f>
        <v/>
      </c>
      <c r="E284" s="15" t="str">
        <f aca="false">IF(A284="","",C284+D284)</f>
        <v/>
      </c>
      <c r="F284" s="15" t="str">
        <f aca="false">IF(A284="","",ROUND(B284-D284,2))</f>
        <v/>
      </c>
    </row>
    <row r="285" customFormat="false" ht="15" hidden="false" customHeight="false" outlineLevel="0" collapsed="false">
      <c r="A285" s="14" t="str">
        <f aca="false">IF(280&gt;$I$12,"",280)</f>
        <v/>
      </c>
      <c r="B285" s="15" t="str">
        <f aca="false">IF(A285="","",F284)</f>
        <v/>
      </c>
      <c r="C285" s="15" t="str">
        <f aca="false">IF(A285="","",ROUND(B285*$I$11,2))</f>
        <v/>
      </c>
      <c r="D285" s="15" t="str">
        <f aca="false">IF(A285="","",IF(A285=$I$12,B285,IF($I$8="Amortissement constant",$I$14,$I$13-C285)))</f>
        <v/>
      </c>
      <c r="E285" s="15" t="str">
        <f aca="false">IF(A285="","",C285+D285)</f>
        <v/>
      </c>
      <c r="F285" s="15" t="str">
        <f aca="false">IF(A285="","",ROUND(B285-D285,2))</f>
        <v/>
      </c>
    </row>
    <row r="286" customFormat="false" ht="15" hidden="false" customHeight="false" outlineLevel="0" collapsed="false">
      <c r="A286" s="14" t="str">
        <f aca="false">IF(281&gt;$I$12,"",281)</f>
        <v/>
      </c>
      <c r="B286" s="15" t="str">
        <f aca="false">IF(A286="","",F285)</f>
        <v/>
      </c>
      <c r="C286" s="15" t="str">
        <f aca="false">IF(A286="","",ROUND(B286*$I$11,2))</f>
        <v/>
      </c>
      <c r="D286" s="15" t="str">
        <f aca="false">IF(A286="","",IF(A286=$I$12,B286,IF($I$8="Amortissement constant",$I$14,$I$13-C286)))</f>
        <v/>
      </c>
      <c r="E286" s="15" t="str">
        <f aca="false">IF(A286="","",C286+D286)</f>
        <v/>
      </c>
      <c r="F286" s="15" t="str">
        <f aca="false">IF(A286="","",ROUND(B286-D286,2))</f>
        <v/>
      </c>
    </row>
    <row r="287" customFormat="false" ht="15" hidden="false" customHeight="false" outlineLevel="0" collapsed="false">
      <c r="A287" s="14" t="str">
        <f aca="false">IF(282&gt;$I$12,"",282)</f>
        <v/>
      </c>
      <c r="B287" s="15" t="str">
        <f aca="false">IF(A287="","",F286)</f>
        <v/>
      </c>
      <c r="C287" s="15" t="str">
        <f aca="false">IF(A287="","",ROUND(B287*$I$11,2))</f>
        <v/>
      </c>
      <c r="D287" s="15" t="str">
        <f aca="false">IF(A287="","",IF(A287=$I$12,B287,IF($I$8="Amortissement constant",$I$14,$I$13-C287)))</f>
        <v/>
      </c>
      <c r="E287" s="15" t="str">
        <f aca="false">IF(A287="","",C287+D287)</f>
        <v/>
      </c>
      <c r="F287" s="15" t="str">
        <f aca="false">IF(A287="","",ROUND(B287-D287,2))</f>
        <v/>
      </c>
    </row>
    <row r="288" customFormat="false" ht="15" hidden="false" customHeight="false" outlineLevel="0" collapsed="false">
      <c r="A288" s="14" t="str">
        <f aca="false">IF(283&gt;$I$12,"",283)</f>
        <v/>
      </c>
      <c r="B288" s="15" t="str">
        <f aca="false">IF(A288="","",F287)</f>
        <v/>
      </c>
      <c r="C288" s="15" t="str">
        <f aca="false">IF(A288="","",ROUND(B288*$I$11,2))</f>
        <v/>
      </c>
      <c r="D288" s="15" t="str">
        <f aca="false">IF(A288="","",IF(A288=$I$12,B288,IF($I$8="Amortissement constant",$I$14,$I$13-C288)))</f>
        <v/>
      </c>
      <c r="E288" s="15" t="str">
        <f aca="false">IF(A288="","",C288+D288)</f>
        <v/>
      </c>
      <c r="F288" s="15" t="str">
        <f aca="false">IF(A288="","",ROUND(B288-D288,2))</f>
        <v/>
      </c>
    </row>
    <row r="289" customFormat="false" ht="15" hidden="false" customHeight="false" outlineLevel="0" collapsed="false">
      <c r="A289" s="14" t="str">
        <f aca="false">IF(284&gt;$I$12,"",284)</f>
        <v/>
      </c>
      <c r="B289" s="15" t="str">
        <f aca="false">IF(A289="","",F288)</f>
        <v/>
      </c>
      <c r="C289" s="15" t="str">
        <f aca="false">IF(A289="","",ROUND(B289*$I$11,2))</f>
        <v/>
      </c>
      <c r="D289" s="15" t="str">
        <f aca="false">IF(A289="","",IF(A289=$I$12,B289,IF($I$8="Amortissement constant",$I$14,$I$13-C289)))</f>
        <v/>
      </c>
      <c r="E289" s="15" t="str">
        <f aca="false">IF(A289="","",C289+D289)</f>
        <v/>
      </c>
      <c r="F289" s="15" t="str">
        <f aca="false">IF(A289="","",ROUND(B289-D289,2))</f>
        <v/>
      </c>
    </row>
    <row r="290" customFormat="false" ht="15" hidden="false" customHeight="false" outlineLevel="0" collapsed="false">
      <c r="A290" s="14" t="str">
        <f aca="false">IF(285&gt;$I$12,"",285)</f>
        <v/>
      </c>
      <c r="B290" s="15" t="str">
        <f aca="false">IF(A290="","",F289)</f>
        <v/>
      </c>
      <c r="C290" s="15" t="str">
        <f aca="false">IF(A290="","",ROUND(B290*$I$11,2))</f>
        <v/>
      </c>
      <c r="D290" s="15" t="str">
        <f aca="false">IF(A290="","",IF(A290=$I$12,B290,IF($I$8="Amortissement constant",$I$14,$I$13-C290)))</f>
        <v/>
      </c>
      <c r="E290" s="15" t="str">
        <f aca="false">IF(A290="","",C290+D290)</f>
        <v/>
      </c>
      <c r="F290" s="15" t="str">
        <f aca="false">IF(A290="","",ROUND(B290-D290,2))</f>
        <v/>
      </c>
    </row>
    <row r="291" customFormat="false" ht="15" hidden="false" customHeight="false" outlineLevel="0" collapsed="false">
      <c r="A291" s="14" t="str">
        <f aca="false">IF(286&gt;$I$12,"",286)</f>
        <v/>
      </c>
      <c r="B291" s="15" t="str">
        <f aca="false">IF(A291="","",F290)</f>
        <v/>
      </c>
      <c r="C291" s="15" t="str">
        <f aca="false">IF(A291="","",ROUND(B291*$I$11,2))</f>
        <v/>
      </c>
      <c r="D291" s="15" t="str">
        <f aca="false">IF(A291="","",IF(A291=$I$12,B291,IF($I$8="Amortissement constant",$I$14,$I$13-C291)))</f>
        <v/>
      </c>
      <c r="E291" s="15" t="str">
        <f aca="false">IF(A291="","",C291+D291)</f>
        <v/>
      </c>
      <c r="F291" s="15" t="str">
        <f aca="false">IF(A291="","",ROUND(B291-D291,2))</f>
        <v/>
      </c>
    </row>
    <row r="292" customFormat="false" ht="15" hidden="false" customHeight="false" outlineLevel="0" collapsed="false">
      <c r="A292" s="14" t="str">
        <f aca="false">IF(287&gt;$I$12,"",287)</f>
        <v/>
      </c>
      <c r="B292" s="15" t="str">
        <f aca="false">IF(A292="","",F291)</f>
        <v/>
      </c>
      <c r="C292" s="15" t="str">
        <f aca="false">IF(A292="","",ROUND(B292*$I$11,2))</f>
        <v/>
      </c>
      <c r="D292" s="15" t="str">
        <f aca="false">IF(A292="","",IF(A292=$I$12,B292,IF($I$8="Amortissement constant",$I$14,$I$13-C292)))</f>
        <v/>
      </c>
      <c r="E292" s="15" t="str">
        <f aca="false">IF(A292="","",C292+D292)</f>
        <v/>
      </c>
      <c r="F292" s="15" t="str">
        <f aca="false">IF(A292="","",ROUND(B292-D292,2))</f>
        <v/>
      </c>
    </row>
    <row r="293" customFormat="false" ht="15" hidden="false" customHeight="false" outlineLevel="0" collapsed="false">
      <c r="A293" s="14" t="str">
        <f aca="false">IF(288&gt;$I$12,"",288)</f>
        <v/>
      </c>
      <c r="B293" s="15" t="str">
        <f aca="false">IF(A293="","",F292)</f>
        <v/>
      </c>
      <c r="C293" s="15" t="str">
        <f aca="false">IF(A293="","",ROUND(B293*$I$11,2))</f>
        <v/>
      </c>
      <c r="D293" s="15" t="str">
        <f aca="false">IF(A293="","",IF(A293=$I$12,B293,IF($I$8="Amortissement constant",$I$14,$I$13-C293)))</f>
        <v/>
      </c>
      <c r="E293" s="15" t="str">
        <f aca="false">IF(A293="","",C293+D293)</f>
        <v/>
      </c>
      <c r="F293" s="15" t="str">
        <f aca="false">IF(A293="","",ROUND(B293-D293,2))</f>
        <v/>
      </c>
    </row>
    <row r="294" customFormat="false" ht="15" hidden="false" customHeight="false" outlineLevel="0" collapsed="false">
      <c r="A294" s="14" t="str">
        <f aca="false">IF(289&gt;$I$12,"",289)</f>
        <v/>
      </c>
      <c r="B294" s="15" t="str">
        <f aca="false">IF(A294="","",F293)</f>
        <v/>
      </c>
      <c r="C294" s="15" t="str">
        <f aca="false">IF(A294="","",ROUND(B294*$I$11,2))</f>
        <v/>
      </c>
      <c r="D294" s="15" t="str">
        <f aca="false">IF(A294="","",IF(A294=$I$12,B294,IF($I$8="Amortissement constant",$I$14,$I$13-C294)))</f>
        <v/>
      </c>
      <c r="E294" s="15" t="str">
        <f aca="false">IF(A294="","",C294+D294)</f>
        <v/>
      </c>
      <c r="F294" s="15" t="str">
        <f aca="false">IF(A294="","",ROUND(B294-D294,2))</f>
        <v/>
      </c>
    </row>
    <row r="295" customFormat="false" ht="15" hidden="false" customHeight="false" outlineLevel="0" collapsed="false">
      <c r="A295" s="14" t="str">
        <f aca="false">IF(290&gt;$I$12,"",290)</f>
        <v/>
      </c>
      <c r="B295" s="15" t="str">
        <f aca="false">IF(A295="","",F294)</f>
        <v/>
      </c>
      <c r="C295" s="15" t="str">
        <f aca="false">IF(A295="","",ROUND(B295*$I$11,2))</f>
        <v/>
      </c>
      <c r="D295" s="15" t="str">
        <f aca="false">IF(A295="","",IF(A295=$I$12,B295,IF($I$8="Amortissement constant",$I$14,$I$13-C295)))</f>
        <v/>
      </c>
      <c r="E295" s="15" t="str">
        <f aca="false">IF(A295="","",C295+D295)</f>
        <v/>
      </c>
      <c r="F295" s="15" t="str">
        <f aca="false">IF(A295="","",ROUND(B295-D295,2))</f>
        <v/>
      </c>
    </row>
    <row r="296" customFormat="false" ht="15" hidden="false" customHeight="false" outlineLevel="0" collapsed="false">
      <c r="A296" s="14" t="str">
        <f aca="false">IF(291&gt;$I$12,"",291)</f>
        <v/>
      </c>
      <c r="B296" s="15" t="str">
        <f aca="false">IF(A296="","",F295)</f>
        <v/>
      </c>
      <c r="C296" s="15" t="str">
        <f aca="false">IF(A296="","",ROUND(B296*$I$11,2))</f>
        <v/>
      </c>
      <c r="D296" s="15" t="str">
        <f aca="false">IF(A296="","",IF(A296=$I$12,B296,IF($I$8="Amortissement constant",$I$14,$I$13-C296)))</f>
        <v/>
      </c>
      <c r="E296" s="15" t="str">
        <f aca="false">IF(A296="","",C296+D296)</f>
        <v/>
      </c>
      <c r="F296" s="15" t="str">
        <f aca="false">IF(A296="","",ROUND(B296-D296,2))</f>
        <v/>
      </c>
    </row>
    <row r="297" customFormat="false" ht="15" hidden="false" customHeight="false" outlineLevel="0" collapsed="false">
      <c r="A297" s="14" t="str">
        <f aca="false">IF(292&gt;$I$12,"",292)</f>
        <v/>
      </c>
      <c r="B297" s="15" t="str">
        <f aca="false">IF(A297="","",F296)</f>
        <v/>
      </c>
      <c r="C297" s="15" t="str">
        <f aca="false">IF(A297="","",ROUND(B297*$I$11,2))</f>
        <v/>
      </c>
      <c r="D297" s="15" t="str">
        <f aca="false">IF(A297="","",IF(A297=$I$12,B297,IF($I$8="Amortissement constant",$I$14,$I$13-C297)))</f>
        <v/>
      </c>
      <c r="E297" s="15" t="str">
        <f aca="false">IF(A297="","",C297+D297)</f>
        <v/>
      </c>
      <c r="F297" s="15" t="str">
        <f aca="false">IF(A297="","",ROUND(B297-D297,2))</f>
        <v/>
      </c>
    </row>
    <row r="298" customFormat="false" ht="15" hidden="false" customHeight="false" outlineLevel="0" collapsed="false">
      <c r="A298" s="14" t="str">
        <f aca="false">IF(293&gt;$I$12,"",293)</f>
        <v/>
      </c>
      <c r="B298" s="15" t="str">
        <f aca="false">IF(A298="","",F297)</f>
        <v/>
      </c>
      <c r="C298" s="15" t="str">
        <f aca="false">IF(A298="","",ROUND(B298*$I$11,2))</f>
        <v/>
      </c>
      <c r="D298" s="15" t="str">
        <f aca="false">IF(A298="","",IF(A298=$I$12,B298,IF($I$8="Amortissement constant",$I$14,$I$13-C298)))</f>
        <v/>
      </c>
      <c r="E298" s="15" t="str">
        <f aca="false">IF(A298="","",C298+D298)</f>
        <v/>
      </c>
      <c r="F298" s="15" t="str">
        <f aca="false">IF(A298="","",ROUND(B298-D298,2))</f>
        <v/>
      </c>
    </row>
    <row r="299" customFormat="false" ht="15" hidden="false" customHeight="false" outlineLevel="0" collapsed="false">
      <c r="A299" s="14" t="str">
        <f aca="false">IF(294&gt;$I$12,"",294)</f>
        <v/>
      </c>
      <c r="B299" s="15" t="str">
        <f aca="false">IF(A299="","",F298)</f>
        <v/>
      </c>
      <c r="C299" s="15" t="str">
        <f aca="false">IF(A299="","",ROUND(B299*$I$11,2))</f>
        <v/>
      </c>
      <c r="D299" s="15" t="str">
        <f aca="false">IF(A299="","",IF(A299=$I$12,B299,IF($I$8="Amortissement constant",$I$14,$I$13-C299)))</f>
        <v/>
      </c>
      <c r="E299" s="15" t="str">
        <f aca="false">IF(A299="","",C299+D299)</f>
        <v/>
      </c>
      <c r="F299" s="15" t="str">
        <f aca="false">IF(A299="","",ROUND(B299-D299,2))</f>
        <v/>
      </c>
    </row>
    <row r="300" customFormat="false" ht="15" hidden="false" customHeight="false" outlineLevel="0" collapsed="false">
      <c r="A300" s="14" t="str">
        <f aca="false">IF(295&gt;$I$12,"",295)</f>
        <v/>
      </c>
      <c r="B300" s="15" t="str">
        <f aca="false">IF(A300="","",F299)</f>
        <v/>
      </c>
      <c r="C300" s="15" t="str">
        <f aca="false">IF(A300="","",ROUND(B300*$I$11,2))</f>
        <v/>
      </c>
      <c r="D300" s="15" t="str">
        <f aca="false">IF(A300="","",IF(A300=$I$12,B300,IF($I$8="Amortissement constant",$I$14,$I$13-C300)))</f>
        <v/>
      </c>
      <c r="E300" s="15" t="str">
        <f aca="false">IF(A300="","",C300+D300)</f>
        <v/>
      </c>
      <c r="F300" s="15" t="str">
        <f aca="false">IF(A300="","",ROUND(B300-D300,2))</f>
        <v/>
      </c>
    </row>
    <row r="301" customFormat="false" ht="15" hidden="false" customHeight="false" outlineLevel="0" collapsed="false">
      <c r="A301" s="14" t="str">
        <f aca="false">IF(296&gt;$I$12,"",296)</f>
        <v/>
      </c>
      <c r="B301" s="15" t="str">
        <f aca="false">IF(A301="","",F300)</f>
        <v/>
      </c>
      <c r="C301" s="15" t="str">
        <f aca="false">IF(A301="","",ROUND(B301*$I$11,2))</f>
        <v/>
      </c>
      <c r="D301" s="15" t="str">
        <f aca="false">IF(A301="","",IF(A301=$I$12,B301,IF($I$8="Amortissement constant",$I$14,$I$13-C301)))</f>
        <v/>
      </c>
      <c r="E301" s="15" t="str">
        <f aca="false">IF(A301="","",C301+D301)</f>
        <v/>
      </c>
      <c r="F301" s="15" t="str">
        <f aca="false">IF(A301="","",ROUND(B301-D301,2))</f>
        <v/>
      </c>
    </row>
    <row r="302" customFormat="false" ht="15" hidden="false" customHeight="false" outlineLevel="0" collapsed="false">
      <c r="A302" s="14" t="str">
        <f aca="false">IF(297&gt;$I$12,"",297)</f>
        <v/>
      </c>
      <c r="B302" s="15" t="str">
        <f aca="false">IF(A302="","",F301)</f>
        <v/>
      </c>
      <c r="C302" s="15" t="str">
        <f aca="false">IF(A302="","",ROUND(B302*$I$11,2))</f>
        <v/>
      </c>
      <c r="D302" s="15" t="str">
        <f aca="false">IF(A302="","",IF(A302=$I$12,B302,IF($I$8="Amortissement constant",$I$14,$I$13-C302)))</f>
        <v/>
      </c>
      <c r="E302" s="15" t="str">
        <f aca="false">IF(A302="","",C302+D302)</f>
        <v/>
      </c>
      <c r="F302" s="15" t="str">
        <f aca="false">IF(A302="","",ROUND(B302-D302,2))</f>
        <v/>
      </c>
    </row>
    <row r="303" customFormat="false" ht="15" hidden="false" customHeight="false" outlineLevel="0" collapsed="false">
      <c r="A303" s="14" t="str">
        <f aca="false">IF(298&gt;$I$12,"",298)</f>
        <v/>
      </c>
      <c r="B303" s="15" t="str">
        <f aca="false">IF(A303="","",F302)</f>
        <v/>
      </c>
      <c r="C303" s="15" t="str">
        <f aca="false">IF(A303="","",ROUND(B303*$I$11,2))</f>
        <v/>
      </c>
      <c r="D303" s="15" t="str">
        <f aca="false">IF(A303="","",IF(A303=$I$12,B303,IF($I$8="Amortissement constant",$I$14,$I$13-C303)))</f>
        <v/>
      </c>
      <c r="E303" s="15" t="str">
        <f aca="false">IF(A303="","",C303+D303)</f>
        <v/>
      </c>
      <c r="F303" s="15" t="str">
        <f aca="false">IF(A303="","",ROUND(B303-D303,2))</f>
        <v/>
      </c>
    </row>
    <row r="304" customFormat="false" ht="15" hidden="false" customHeight="false" outlineLevel="0" collapsed="false">
      <c r="A304" s="14" t="str">
        <f aca="false">IF(299&gt;$I$12,"",299)</f>
        <v/>
      </c>
      <c r="B304" s="15" t="str">
        <f aca="false">IF(A304="","",F303)</f>
        <v/>
      </c>
      <c r="C304" s="15" t="str">
        <f aca="false">IF(A304="","",ROUND(B304*$I$11,2))</f>
        <v/>
      </c>
      <c r="D304" s="15" t="str">
        <f aca="false">IF(A304="","",IF(A304=$I$12,B304,IF($I$8="Amortissement constant",$I$14,$I$13-C304)))</f>
        <v/>
      </c>
      <c r="E304" s="15" t="str">
        <f aca="false">IF(A304="","",C304+D304)</f>
        <v/>
      </c>
      <c r="F304" s="15" t="str">
        <f aca="false">IF(A304="","",ROUND(B304-D304,2))</f>
        <v/>
      </c>
    </row>
    <row r="305" customFormat="false" ht="15" hidden="false" customHeight="false" outlineLevel="0" collapsed="false">
      <c r="A305" s="14" t="str">
        <f aca="false">IF(300&gt;$I$12,"",300)</f>
        <v/>
      </c>
      <c r="B305" s="15" t="str">
        <f aca="false">IF(A305="","",F304)</f>
        <v/>
      </c>
      <c r="C305" s="15" t="str">
        <f aca="false">IF(A305="","",ROUND(B305*$I$11,2))</f>
        <v/>
      </c>
      <c r="D305" s="15" t="str">
        <f aca="false">IF(A305="","",IF(A305=$I$12,B305,IF($I$8="Amortissement constant",$I$14,$I$13-C305)))</f>
        <v/>
      </c>
      <c r="E305" s="15" t="str">
        <f aca="false">IF(A305="","",C305+D305)</f>
        <v/>
      </c>
      <c r="F305" s="15" t="str">
        <f aca="false">IF(A305="","",ROUND(B305-D305,2))</f>
        <v/>
      </c>
    </row>
    <row r="306" customFormat="false" ht="15" hidden="false" customHeight="false" outlineLevel="0" collapsed="false">
      <c r="A306" s="14" t="str">
        <f aca="false">IF(301&gt;$I$12,"",301)</f>
        <v/>
      </c>
      <c r="B306" s="15" t="str">
        <f aca="false">IF(A306="","",F305)</f>
        <v/>
      </c>
      <c r="C306" s="15" t="str">
        <f aca="false">IF(A306="","",ROUND(B306*$I$11,2))</f>
        <v/>
      </c>
      <c r="D306" s="15" t="str">
        <f aca="false">IF(A306="","",IF(A306=$I$12,B306,IF($I$8="Amortissement constant",$I$14,$I$13-C306)))</f>
        <v/>
      </c>
      <c r="E306" s="15" t="str">
        <f aca="false">IF(A306="","",C306+D306)</f>
        <v/>
      </c>
      <c r="F306" s="15" t="str">
        <f aca="false">IF(A306="","",ROUND(B306-D306,2))</f>
        <v/>
      </c>
    </row>
    <row r="307" customFormat="false" ht="15" hidden="false" customHeight="false" outlineLevel="0" collapsed="false">
      <c r="A307" s="14" t="str">
        <f aca="false">IF(302&gt;$I$12,"",302)</f>
        <v/>
      </c>
      <c r="B307" s="15" t="str">
        <f aca="false">IF(A307="","",F306)</f>
        <v/>
      </c>
      <c r="C307" s="15" t="str">
        <f aca="false">IF(A307="","",ROUND(B307*$I$11,2))</f>
        <v/>
      </c>
      <c r="D307" s="15" t="str">
        <f aca="false">IF(A307="","",IF(A307=$I$12,B307,IF($I$8="Amortissement constant",$I$14,$I$13-C307)))</f>
        <v/>
      </c>
      <c r="E307" s="15" t="str">
        <f aca="false">IF(A307="","",C307+D307)</f>
        <v/>
      </c>
      <c r="F307" s="15" t="str">
        <f aca="false">IF(A307="","",ROUND(B307-D307,2))</f>
        <v/>
      </c>
    </row>
    <row r="308" customFormat="false" ht="15" hidden="false" customHeight="false" outlineLevel="0" collapsed="false">
      <c r="A308" s="14" t="str">
        <f aca="false">IF(303&gt;$I$12,"",303)</f>
        <v/>
      </c>
      <c r="B308" s="15" t="str">
        <f aca="false">IF(A308="","",F307)</f>
        <v/>
      </c>
      <c r="C308" s="15" t="str">
        <f aca="false">IF(A308="","",ROUND(B308*$I$11,2))</f>
        <v/>
      </c>
      <c r="D308" s="15" t="str">
        <f aca="false">IF(A308="","",IF(A308=$I$12,B308,IF($I$8="Amortissement constant",$I$14,$I$13-C308)))</f>
        <v/>
      </c>
      <c r="E308" s="15" t="str">
        <f aca="false">IF(A308="","",C308+D308)</f>
        <v/>
      </c>
      <c r="F308" s="15" t="str">
        <f aca="false">IF(A308="","",ROUND(B308-D308,2))</f>
        <v/>
      </c>
    </row>
    <row r="309" customFormat="false" ht="15" hidden="false" customHeight="false" outlineLevel="0" collapsed="false">
      <c r="A309" s="14" t="str">
        <f aca="false">IF(304&gt;$I$12,"",304)</f>
        <v/>
      </c>
      <c r="B309" s="15" t="str">
        <f aca="false">IF(A309="","",F308)</f>
        <v/>
      </c>
      <c r="C309" s="15" t="str">
        <f aca="false">IF(A309="","",ROUND(B309*$I$11,2))</f>
        <v/>
      </c>
      <c r="D309" s="15" t="str">
        <f aca="false">IF(A309="","",IF(A309=$I$12,B309,IF($I$8="Amortissement constant",$I$14,$I$13-C309)))</f>
        <v/>
      </c>
      <c r="E309" s="15" t="str">
        <f aca="false">IF(A309="","",C309+D309)</f>
        <v/>
      </c>
      <c r="F309" s="15" t="str">
        <f aca="false">IF(A309="","",ROUND(B309-D309,2))</f>
        <v/>
      </c>
    </row>
    <row r="310" customFormat="false" ht="15" hidden="false" customHeight="false" outlineLevel="0" collapsed="false">
      <c r="A310" s="14" t="str">
        <f aca="false">IF(305&gt;$I$12,"",305)</f>
        <v/>
      </c>
      <c r="B310" s="15" t="str">
        <f aca="false">IF(A310="","",F309)</f>
        <v/>
      </c>
      <c r="C310" s="15" t="str">
        <f aca="false">IF(A310="","",ROUND(B310*$I$11,2))</f>
        <v/>
      </c>
      <c r="D310" s="15" t="str">
        <f aca="false">IF(A310="","",IF(A310=$I$12,B310,IF($I$8="Amortissement constant",$I$14,$I$13-C310)))</f>
        <v/>
      </c>
      <c r="E310" s="15" t="str">
        <f aca="false">IF(A310="","",C310+D310)</f>
        <v/>
      </c>
      <c r="F310" s="15" t="str">
        <f aca="false">IF(A310="","",ROUND(B310-D310,2))</f>
        <v/>
      </c>
    </row>
    <row r="311" customFormat="false" ht="15" hidden="false" customHeight="false" outlineLevel="0" collapsed="false">
      <c r="A311" s="14" t="str">
        <f aca="false">IF(306&gt;$I$12,"",306)</f>
        <v/>
      </c>
      <c r="B311" s="15" t="str">
        <f aca="false">IF(A311="","",F310)</f>
        <v/>
      </c>
      <c r="C311" s="15" t="str">
        <f aca="false">IF(A311="","",ROUND(B311*$I$11,2))</f>
        <v/>
      </c>
      <c r="D311" s="15" t="str">
        <f aca="false">IF(A311="","",IF(A311=$I$12,B311,IF($I$8="Amortissement constant",$I$14,$I$13-C311)))</f>
        <v/>
      </c>
      <c r="E311" s="15" t="str">
        <f aca="false">IF(A311="","",C311+D311)</f>
        <v/>
      </c>
      <c r="F311" s="15" t="str">
        <f aca="false">IF(A311="","",ROUND(B311-D311,2))</f>
        <v/>
      </c>
    </row>
    <row r="312" customFormat="false" ht="15" hidden="false" customHeight="false" outlineLevel="0" collapsed="false">
      <c r="A312" s="14" t="str">
        <f aca="false">IF(307&gt;$I$12,"",307)</f>
        <v/>
      </c>
      <c r="B312" s="15" t="str">
        <f aca="false">IF(A312="","",F311)</f>
        <v/>
      </c>
      <c r="C312" s="15" t="str">
        <f aca="false">IF(A312="","",ROUND(B312*$I$11,2))</f>
        <v/>
      </c>
      <c r="D312" s="15" t="str">
        <f aca="false">IF(A312="","",IF(A312=$I$12,B312,IF($I$8="Amortissement constant",$I$14,$I$13-C312)))</f>
        <v/>
      </c>
      <c r="E312" s="15" t="str">
        <f aca="false">IF(A312="","",C312+D312)</f>
        <v/>
      </c>
      <c r="F312" s="15" t="str">
        <f aca="false">IF(A312="","",ROUND(B312-D312,2))</f>
        <v/>
      </c>
    </row>
    <row r="313" customFormat="false" ht="15" hidden="false" customHeight="false" outlineLevel="0" collapsed="false">
      <c r="A313" s="14" t="str">
        <f aca="false">IF(308&gt;$I$12,"",308)</f>
        <v/>
      </c>
      <c r="B313" s="15" t="str">
        <f aca="false">IF(A313="","",F312)</f>
        <v/>
      </c>
      <c r="C313" s="15" t="str">
        <f aca="false">IF(A313="","",ROUND(B313*$I$11,2))</f>
        <v/>
      </c>
      <c r="D313" s="15" t="str">
        <f aca="false">IF(A313="","",IF(A313=$I$12,B313,IF($I$8="Amortissement constant",$I$14,$I$13-C313)))</f>
        <v/>
      </c>
      <c r="E313" s="15" t="str">
        <f aca="false">IF(A313="","",C313+D313)</f>
        <v/>
      </c>
      <c r="F313" s="15" t="str">
        <f aca="false">IF(A313="","",ROUND(B313-D313,2))</f>
        <v/>
      </c>
    </row>
    <row r="314" customFormat="false" ht="15" hidden="false" customHeight="false" outlineLevel="0" collapsed="false">
      <c r="A314" s="14" t="str">
        <f aca="false">IF(309&gt;$I$12,"",309)</f>
        <v/>
      </c>
      <c r="B314" s="15" t="str">
        <f aca="false">IF(A314="","",F313)</f>
        <v/>
      </c>
      <c r="C314" s="15" t="str">
        <f aca="false">IF(A314="","",ROUND(B314*$I$11,2))</f>
        <v/>
      </c>
      <c r="D314" s="15" t="str">
        <f aca="false">IF(A314="","",IF(A314=$I$12,B314,IF($I$8="Amortissement constant",$I$14,$I$13-C314)))</f>
        <v/>
      </c>
      <c r="E314" s="15" t="str">
        <f aca="false">IF(A314="","",C314+D314)</f>
        <v/>
      </c>
      <c r="F314" s="15" t="str">
        <f aca="false">IF(A314="","",ROUND(B314-D314,2))</f>
        <v/>
      </c>
    </row>
    <row r="315" customFormat="false" ht="15" hidden="false" customHeight="false" outlineLevel="0" collapsed="false">
      <c r="A315" s="14" t="str">
        <f aca="false">IF(310&gt;$I$12,"",310)</f>
        <v/>
      </c>
      <c r="B315" s="15" t="str">
        <f aca="false">IF(A315="","",F314)</f>
        <v/>
      </c>
      <c r="C315" s="15" t="str">
        <f aca="false">IF(A315="","",ROUND(B315*$I$11,2))</f>
        <v/>
      </c>
      <c r="D315" s="15" t="str">
        <f aca="false">IF(A315="","",IF(A315=$I$12,B315,IF($I$8="Amortissement constant",$I$14,$I$13-C315)))</f>
        <v/>
      </c>
      <c r="E315" s="15" t="str">
        <f aca="false">IF(A315="","",C315+D315)</f>
        <v/>
      </c>
      <c r="F315" s="15" t="str">
        <f aca="false">IF(A315="","",ROUND(B315-D315,2))</f>
        <v/>
      </c>
    </row>
    <row r="316" customFormat="false" ht="15" hidden="false" customHeight="false" outlineLevel="0" collapsed="false">
      <c r="A316" s="14" t="str">
        <f aca="false">IF(311&gt;$I$12,"",311)</f>
        <v/>
      </c>
      <c r="B316" s="15" t="str">
        <f aca="false">IF(A316="","",F315)</f>
        <v/>
      </c>
      <c r="C316" s="15" t="str">
        <f aca="false">IF(A316="","",ROUND(B316*$I$11,2))</f>
        <v/>
      </c>
      <c r="D316" s="15" t="str">
        <f aca="false">IF(A316="","",IF(A316=$I$12,B316,IF($I$8="Amortissement constant",$I$14,$I$13-C316)))</f>
        <v/>
      </c>
      <c r="E316" s="15" t="str">
        <f aca="false">IF(A316="","",C316+D316)</f>
        <v/>
      </c>
      <c r="F316" s="15" t="str">
        <f aca="false">IF(A316="","",ROUND(B316-D316,2))</f>
        <v/>
      </c>
    </row>
    <row r="317" customFormat="false" ht="15" hidden="false" customHeight="false" outlineLevel="0" collapsed="false">
      <c r="A317" s="14" t="str">
        <f aca="false">IF(312&gt;$I$12,"",312)</f>
        <v/>
      </c>
      <c r="B317" s="15" t="str">
        <f aca="false">IF(A317="","",F316)</f>
        <v/>
      </c>
      <c r="C317" s="15" t="str">
        <f aca="false">IF(A317="","",ROUND(B317*$I$11,2))</f>
        <v/>
      </c>
      <c r="D317" s="15" t="str">
        <f aca="false">IF(A317="","",IF(A317=$I$12,B317,IF($I$8="Amortissement constant",$I$14,$I$13-C317)))</f>
        <v/>
      </c>
      <c r="E317" s="15" t="str">
        <f aca="false">IF(A317="","",C317+D317)</f>
        <v/>
      </c>
      <c r="F317" s="15" t="str">
        <f aca="false">IF(A317="","",ROUND(B317-D317,2))</f>
        <v/>
      </c>
    </row>
    <row r="318" customFormat="false" ht="15" hidden="false" customHeight="false" outlineLevel="0" collapsed="false">
      <c r="A318" s="14" t="str">
        <f aca="false">IF(313&gt;$I$12,"",313)</f>
        <v/>
      </c>
      <c r="B318" s="15" t="str">
        <f aca="false">IF(A318="","",F317)</f>
        <v/>
      </c>
      <c r="C318" s="15" t="str">
        <f aca="false">IF(A318="","",ROUND(B318*$I$11,2))</f>
        <v/>
      </c>
      <c r="D318" s="15" t="str">
        <f aca="false">IF(A318="","",IF(A318=$I$12,B318,IF($I$8="Amortissement constant",$I$14,$I$13-C318)))</f>
        <v/>
      </c>
      <c r="E318" s="15" t="str">
        <f aca="false">IF(A318="","",C318+D318)</f>
        <v/>
      </c>
      <c r="F318" s="15" t="str">
        <f aca="false">IF(A318="","",ROUND(B318-D318,2))</f>
        <v/>
      </c>
    </row>
    <row r="319" customFormat="false" ht="15" hidden="false" customHeight="false" outlineLevel="0" collapsed="false">
      <c r="A319" s="14" t="str">
        <f aca="false">IF(314&gt;$I$12,"",314)</f>
        <v/>
      </c>
      <c r="B319" s="15" t="str">
        <f aca="false">IF(A319="","",F318)</f>
        <v/>
      </c>
      <c r="C319" s="15" t="str">
        <f aca="false">IF(A319="","",ROUND(B319*$I$11,2))</f>
        <v/>
      </c>
      <c r="D319" s="15" t="str">
        <f aca="false">IF(A319="","",IF(A319=$I$12,B319,IF($I$8="Amortissement constant",$I$14,$I$13-C319)))</f>
        <v/>
      </c>
      <c r="E319" s="15" t="str">
        <f aca="false">IF(A319="","",C319+D319)</f>
        <v/>
      </c>
      <c r="F319" s="15" t="str">
        <f aca="false">IF(A319="","",ROUND(B319-D319,2))</f>
        <v/>
      </c>
    </row>
    <row r="320" customFormat="false" ht="15" hidden="false" customHeight="false" outlineLevel="0" collapsed="false">
      <c r="A320" s="14" t="str">
        <f aca="false">IF(315&gt;$I$12,"",315)</f>
        <v/>
      </c>
      <c r="B320" s="15" t="str">
        <f aca="false">IF(A320="","",F319)</f>
        <v/>
      </c>
      <c r="C320" s="15" t="str">
        <f aca="false">IF(A320="","",ROUND(B320*$I$11,2))</f>
        <v/>
      </c>
      <c r="D320" s="15" t="str">
        <f aca="false">IF(A320="","",IF(A320=$I$12,B320,IF($I$8="Amortissement constant",$I$14,$I$13-C320)))</f>
        <v/>
      </c>
      <c r="E320" s="15" t="str">
        <f aca="false">IF(A320="","",C320+D320)</f>
        <v/>
      </c>
      <c r="F320" s="15" t="str">
        <f aca="false">IF(A320="","",ROUND(B320-D320,2))</f>
        <v/>
      </c>
    </row>
    <row r="321" customFormat="false" ht="15" hidden="false" customHeight="false" outlineLevel="0" collapsed="false">
      <c r="A321" s="14" t="str">
        <f aca="false">IF(316&gt;$I$12,"",316)</f>
        <v/>
      </c>
      <c r="B321" s="15" t="str">
        <f aca="false">IF(A321="","",F320)</f>
        <v/>
      </c>
      <c r="C321" s="15" t="str">
        <f aca="false">IF(A321="","",ROUND(B321*$I$11,2))</f>
        <v/>
      </c>
      <c r="D321" s="15" t="str">
        <f aca="false">IF(A321="","",IF(A321=$I$12,B321,IF($I$8="Amortissement constant",$I$14,$I$13-C321)))</f>
        <v/>
      </c>
      <c r="E321" s="15" t="str">
        <f aca="false">IF(A321="","",C321+D321)</f>
        <v/>
      </c>
      <c r="F321" s="15" t="str">
        <f aca="false">IF(A321="","",ROUND(B321-D321,2))</f>
        <v/>
      </c>
    </row>
    <row r="322" customFormat="false" ht="15" hidden="false" customHeight="false" outlineLevel="0" collapsed="false">
      <c r="A322" s="14" t="str">
        <f aca="false">IF(317&gt;$I$12,"",317)</f>
        <v/>
      </c>
      <c r="B322" s="15" t="str">
        <f aca="false">IF(A322="","",F321)</f>
        <v/>
      </c>
      <c r="C322" s="15" t="str">
        <f aca="false">IF(A322="","",ROUND(B322*$I$11,2))</f>
        <v/>
      </c>
      <c r="D322" s="15" t="str">
        <f aca="false">IF(A322="","",IF(A322=$I$12,B322,IF($I$8="Amortissement constant",$I$14,$I$13-C322)))</f>
        <v/>
      </c>
      <c r="E322" s="15" t="str">
        <f aca="false">IF(A322="","",C322+D322)</f>
        <v/>
      </c>
      <c r="F322" s="15" t="str">
        <f aca="false">IF(A322="","",ROUND(B322-D322,2))</f>
        <v/>
      </c>
    </row>
    <row r="323" customFormat="false" ht="15" hidden="false" customHeight="false" outlineLevel="0" collapsed="false">
      <c r="A323" s="14" t="str">
        <f aca="false">IF(318&gt;$I$12,"",318)</f>
        <v/>
      </c>
      <c r="B323" s="15" t="str">
        <f aca="false">IF(A323="","",F322)</f>
        <v/>
      </c>
      <c r="C323" s="15" t="str">
        <f aca="false">IF(A323="","",ROUND(B323*$I$11,2))</f>
        <v/>
      </c>
      <c r="D323" s="15" t="str">
        <f aca="false">IF(A323="","",IF(A323=$I$12,B323,IF($I$8="Amortissement constant",$I$14,$I$13-C323)))</f>
        <v/>
      </c>
      <c r="E323" s="15" t="str">
        <f aca="false">IF(A323="","",C323+D323)</f>
        <v/>
      </c>
      <c r="F323" s="15" t="str">
        <f aca="false">IF(A323="","",ROUND(B323-D323,2))</f>
        <v/>
      </c>
    </row>
    <row r="324" customFormat="false" ht="15" hidden="false" customHeight="false" outlineLevel="0" collapsed="false">
      <c r="A324" s="14" t="str">
        <f aca="false">IF(319&gt;$I$12,"",319)</f>
        <v/>
      </c>
      <c r="B324" s="15" t="str">
        <f aca="false">IF(A324="","",F323)</f>
        <v/>
      </c>
      <c r="C324" s="15" t="str">
        <f aca="false">IF(A324="","",ROUND(B324*$I$11,2))</f>
        <v/>
      </c>
      <c r="D324" s="15" t="str">
        <f aca="false">IF(A324="","",IF(A324=$I$12,B324,IF($I$8="Amortissement constant",$I$14,$I$13-C324)))</f>
        <v/>
      </c>
      <c r="E324" s="15" t="str">
        <f aca="false">IF(A324="","",C324+D324)</f>
        <v/>
      </c>
      <c r="F324" s="15" t="str">
        <f aca="false">IF(A324="","",ROUND(B324-D324,2))</f>
        <v/>
      </c>
    </row>
    <row r="325" customFormat="false" ht="15" hidden="false" customHeight="false" outlineLevel="0" collapsed="false">
      <c r="A325" s="14" t="str">
        <f aca="false">IF(320&gt;$I$12,"",320)</f>
        <v/>
      </c>
      <c r="B325" s="15" t="str">
        <f aca="false">IF(A325="","",F324)</f>
        <v/>
      </c>
      <c r="C325" s="15" t="str">
        <f aca="false">IF(A325="","",ROUND(B325*$I$11,2))</f>
        <v/>
      </c>
      <c r="D325" s="15" t="str">
        <f aca="false">IF(A325="","",IF(A325=$I$12,B325,IF($I$8="Amortissement constant",$I$14,$I$13-C325)))</f>
        <v/>
      </c>
      <c r="E325" s="15" t="str">
        <f aca="false">IF(A325="","",C325+D325)</f>
        <v/>
      </c>
      <c r="F325" s="15" t="str">
        <f aca="false">IF(A325="","",ROUND(B325-D325,2))</f>
        <v/>
      </c>
    </row>
    <row r="326" customFormat="false" ht="15" hidden="false" customHeight="false" outlineLevel="0" collapsed="false">
      <c r="A326" s="14" t="str">
        <f aca="false">IF(321&gt;$I$12,"",321)</f>
        <v/>
      </c>
      <c r="B326" s="15" t="str">
        <f aca="false">IF(A326="","",F325)</f>
        <v/>
      </c>
      <c r="C326" s="15" t="str">
        <f aca="false">IF(A326="","",ROUND(B326*$I$11,2))</f>
        <v/>
      </c>
      <c r="D326" s="15" t="str">
        <f aca="false">IF(A326="","",IF(A326=$I$12,B326,IF($I$8="Amortissement constant",$I$14,$I$13-C326)))</f>
        <v/>
      </c>
      <c r="E326" s="15" t="str">
        <f aca="false">IF(A326="","",C326+D326)</f>
        <v/>
      </c>
      <c r="F326" s="15" t="str">
        <f aca="false">IF(A326="","",ROUND(B326-D326,2))</f>
        <v/>
      </c>
    </row>
    <row r="327" customFormat="false" ht="15" hidden="false" customHeight="false" outlineLevel="0" collapsed="false">
      <c r="A327" s="14" t="str">
        <f aca="false">IF(322&gt;$I$12,"",322)</f>
        <v/>
      </c>
      <c r="B327" s="15" t="str">
        <f aca="false">IF(A327="","",F326)</f>
        <v/>
      </c>
      <c r="C327" s="15" t="str">
        <f aca="false">IF(A327="","",ROUND(B327*$I$11,2))</f>
        <v/>
      </c>
      <c r="D327" s="15" t="str">
        <f aca="false">IF(A327="","",IF(A327=$I$12,B327,IF($I$8="Amortissement constant",$I$14,$I$13-C327)))</f>
        <v/>
      </c>
      <c r="E327" s="15" t="str">
        <f aca="false">IF(A327="","",C327+D327)</f>
        <v/>
      </c>
      <c r="F327" s="15" t="str">
        <f aca="false">IF(A327="","",ROUND(B327-D327,2))</f>
        <v/>
      </c>
    </row>
    <row r="328" customFormat="false" ht="15" hidden="false" customHeight="false" outlineLevel="0" collapsed="false">
      <c r="A328" s="14" t="str">
        <f aca="false">IF(323&gt;$I$12,"",323)</f>
        <v/>
      </c>
      <c r="B328" s="15" t="str">
        <f aca="false">IF(A328="","",F327)</f>
        <v/>
      </c>
      <c r="C328" s="15" t="str">
        <f aca="false">IF(A328="","",ROUND(B328*$I$11,2))</f>
        <v/>
      </c>
      <c r="D328" s="15" t="str">
        <f aca="false">IF(A328="","",IF(A328=$I$12,B328,IF($I$8="Amortissement constant",$I$14,$I$13-C328)))</f>
        <v/>
      </c>
      <c r="E328" s="15" t="str">
        <f aca="false">IF(A328="","",C328+D328)</f>
        <v/>
      </c>
      <c r="F328" s="15" t="str">
        <f aca="false">IF(A328="","",ROUND(B328-D328,2))</f>
        <v/>
      </c>
    </row>
    <row r="329" customFormat="false" ht="15" hidden="false" customHeight="false" outlineLevel="0" collapsed="false">
      <c r="A329" s="14" t="str">
        <f aca="false">IF(324&gt;$I$12,"",324)</f>
        <v/>
      </c>
      <c r="B329" s="15" t="str">
        <f aca="false">IF(A329="","",F328)</f>
        <v/>
      </c>
      <c r="C329" s="15" t="str">
        <f aca="false">IF(A329="","",ROUND(B329*$I$11,2))</f>
        <v/>
      </c>
      <c r="D329" s="15" t="str">
        <f aca="false">IF(A329="","",IF(A329=$I$12,B329,IF($I$8="Amortissement constant",$I$14,$I$13-C329)))</f>
        <v/>
      </c>
      <c r="E329" s="15" t="str">
        <f aca="false">IF(A329="","",C329+D329)</f>
        <v/>
      </c>
      <c r="F329" s="15" t="str">
        <f aca="false">IF(A329="","",ROUND(B329-D329,2))</f>
        <v/>
      </c>
    </row>
    <row r="330" customFormat="false" ht="15" hidden="false" customHeight="false" outlineLevel="0" collapsed="false">
      <c r="A330" s="14" t="str">
        <f aca="false">IF(325&gt;$I$12,"",325)</f>
        <v/>
      </c>
      <c r="B330" s="15" t="str">
        <f aca="false">IF(A330="","",F329)</f>
        <v/>
      </c>
      <c r="C330" s="15" t="str">
        <f aca="false">IF(A330="","",ROUND(B330*$I$11,2))</f>
        <v/>
      </c>
      <c r="D330" s="15" t="str">
        <f aca="false">IF(A330="","",IF(A330=$I$12,B330,IF($I$8="Amortissement constant",$I$14,$I$13-C330)))</f>
        <v/>
      </c>
      <c r="E330" s="15" t="str">
        <f aca="false">IF(A330="","",C330+D330)</f>
        <v/>
      </c>
      <c r="F330" s="15" t="str">
        <f aca="false">IF(A330="","",ROUND(B330-D330,2))</f>
        <v/>
      </c>
    </row>
    <row r="331" customFormat="false" ht="15" hidden="false" customHeight="false" outlineLevel="0" collapsed="false">
      <c r="A331" s="14" t="str">
        <f aca="false">IF(326&gt;$I$12,"",326)</f>
        <v/>
      </c>
      <c r="B331" s="15" t="str">
        <f aca="false">IF(A331="","",F330)</f>
        <v/>
      </c>
      <c r="C331" s="15" t="str">
        <f aca="false">IF(A331="","",ROUND(B331*$I$11,2))</f>
        <v/>
      </c>
      <c r="D331" s="15" t="str">
        <f aca="false">IF(A331="","",IF(A331=$I$12,B331,IF($I$8="Amortissement constant",$I$14,$I$13-C331)))</f>
        <v/>
      </c>
      <c r="E331" s="15" t="str">
        <f aca="false">IF(A331="","",C331+D331)</f>
        <v/>
      </c>
      <c r="F331" s="15" t="str">
        <f aca="false">IF(A331="","",ROUND(B331-D331,2))</f>
        <v/>
      </c>
    </row>
    <row r="332" customFormat="false" ht="15" hidden="false" customHeight="false" outlineLevel="0" collapsed="false">
      <c r="A332" s="14" t="str">
        <f aca="false">IF(327&gt;$I$12,"",327)</f>
        <v/>
      </c>
      <c r="B332" s="15" t="str">
        <f aca="false">IF(A332="","",F331)</f>
        <v/>
      </c>
      <c r="C332" s="15" t="str">
        <f aca="false">IF(A332="","",ROUND(B332*$I$11,2))</f>
        <v/>
      </c>
      <c r="D332" s="15" t="str">
        <f aca="false">IF(A332="","",IF(A332=$I$12,B332,IF($I$8="Amortissement constant",$I$14,$I$13-C332)))</f>
        <v/>
      </c>
      <c r="E332" s="15" t="str">
        <f aca="false">IF(A332="","",C332+D332)</f>
        <v/>
      </c>
      <c r="F332" s="15" t="str">
        <f aca="false">IF(A332="","",ROUND(B332-D332,2))</f>
        <v/>
      </c>
    </row>
    <row r="333" customFormat="false" ht="15" hidden="false" customHeight="false" outlineLevel="0" collapsed="false">
      <c r="A333" s="14" t="str">
        <f aca="false">IF(328&gt;$I$12,"",328)</f>
        <v/>
      </c>
      <c r="B333" s="15" t="str">
        <f aca="false">IF(A333="","",F332)</f>
        <v/>
      </c>
      <c r="C333" s="15" t="str">
        <f aca="false">IF(A333="","",ROUND(B333*$I$11,2))</f>
        <v/>
      </c>
      <c r="D333" s="15" t="str">
        <f aca="false">IF(A333="","",IF(A333=$I$12,B333,IF($I$8="Amortissement constant",$I$14,$I$13-C333)))</f>
        <v/>
      </c>
      <c r="E333" s="15" t="str">
        <f aca="false">IF(A333="","",C333+D333)</f>
        <v/>
      </c>
      <c r="F333" s="15" t="str">
        <f aca="false">IF(A333="","",ROUND(B333-D333,2))</f>
        <v/>
      </c>
    </row>
    <row r="334" customFormat="false" ht="15" hidden="false" customHeight="false" outlineLevel="0" collapsed="false">
      <c r="A334" s="14" t="str">
        <f aca="false">IF(329&gt;$I$12,"",329)</f>
        <v/>
      </c>
      <c r="B334" s="15" t="str">
        <f aca="false">IF(A334="","",F333)</f>
        <v/>
      </c>
      <c r="C334" s="15" t="str">
        <f aca="false">IF(A334="","",ROUND(B334*$I$11,2))</f>
        <v/>
      </c>
      <c r="D334" s="15" t="str">
        <f aca="false">IF(A334="","",IF(A334=$I$12,B334,IF($I$8="Amortissement constant",$I$14,$I$13-C334)))</f>
        <v/>
      </c>
      <c r="E334" s="15" t="str">
        <f aca="false">IF(A334="","",C334+D334)</f>
        <v/>
      </c>
      <c r="F334" s="15" t="str">
        <f aca="false">IF(A334="","",ROUND(B334-D334,2))</f>
        <v/>
      </c>
    </row>
    <row r="335" customFormat="false" ht="15" hidden="false" customHeight="false" outlineLevel="0" collapsed="false">
      <c r="A335" s="14" t="str">
        <f aca="false">IF(330&gt;$I$12,"",330)</f>
        <v/>
      </c>
      <c r="B335" s="15" t="str">
        <f aca="false">IF(A335="","",F334)</f>
        <v/>
      </c>
      <c r="C335" s="15" t="str">
        <f aca="false">IF(A335="","",ROUND(B335*$I$11,2))</f>
        <v/>
      </c>
      <c r="D335" s="15" t="str">
        <f aca="false">IF(A335="","",IF(A335=$I$12,B335,IF($I$8="Amortissement constant",$I$14,$I$13-C335)))</f>
        <v/>
      </c>
      <c r="E335" s="15" t="str">
        <f aca="false">IF(A335="","",C335+D335)</f>
        <v/>
      </c>
      <c r="F335" s="15" t="str">
        <f aca="false">IF(A335="","",ROUND(B335-D335,2))</f>
        <v/>
      </c>
    </row>
    <row r="336" customFormat="false" ht="15" hidden="false" customHeight="false" outlineLevel="0" collapsed="false">
      <c r="A336" s="14" t="str">
        <f aca="false">IF(331&gt;$I$12,"",331)</f>
        <v/>
      </c>
      <c r="B336" s="15" t="str">
        <f aca="false">IF(A336="","",F335)</f>
        <v/>
      </c>
      <c r="C336" s="15" t="str">
        <f aca="false">IF(A336="","",ROUND(B336*$I$11,2))</f>
        <v/>
      </c>
      <c r="D336" s="15" t="str">
        <f aca="false">IF(A336="","",IF(A336=$I$12,B336,IF($I$8="Amortissement constant",$I$14,$I$13-C336)))</f>
        <v/>
      </c>
      <c r="E336" s="15" t="str">
        <f aca="false">IF(A336="","",C336+D336)</f>
        <v/>
      </c>
      <c r="F336" s="15" t="str">
        <f aca="false">IF(A336="","",ROUND(B336-D336,2))</f>
        <v/>
      </c>
    </row>
    <row r="337" customFormat="false" ht="15" hidden="false" customHeight="false" outlineLevel="0" collapsed="false">
      <c r="A337" s="14" t="str">
        <f aca="false">IF(332&gt;$I$12,"",332)</f>
        <v/>
      </c>
      <c r="B337" s="15" t="str">
        <f aca="false">IF(A337="","",F336)</f>
        <v/>
      </c>
      <c r="C337" s="15" t="str">
        <f aca="false">IF(A337="","",ROUND(B337*$I$11,2))</f>
        <v/>
      </c>
      <c r="D337" s="15" t="str">
        <f aca="false">IF(A337="","",IF(A337=$I$12,B337,IF($I$8="Amortissement constant",$I$14,$I$13-C337)))</f>
        <v/>
      </c>
      <c r="E337" s="15" t="str">
        <f aca="false">IF(A337="","",C337+D337)</f>
        <v/>
      </c>
      <c r="F337" s="15" t="str">
        <f aca="false">IF(A337="","",ROUND(B337-D337,2))</f>
        <v/>
      </c>
    </row>
    <row r="338" customFormat="false" ht="15" hidden="false" customHeight="false" outlineLevel="0" collapsed="false">
      <c r="A338" s="14" t="str">
        <f aca="false">IF(333&gt;$I$12,"",333)</f>
        <v/>
      </c>
      <c r="B338" s="15" t="str">
        <f aca="false">IF(A338="","",F337)</f>
        <v/>
      </c>
      <c r="C338" s="15" t="str">
        <f aca="false">IF(A338="","",ROUND(B338*$I$11,2))</f>
        <v/>
      </c>
      <c r="D338" s="15" t="str">
        <f aca="false">IF(A338="","",IF(A338=$I$12,B338,IF($I$8="Amortissement constant",$I$14,$I$13-C338)))</f>
        <v/>
      </c>
      <c r="E338" s="15" t="str">
        <f aca="false">IF(A338="","",C338+D338)</f>
        <v/>
      </c>
      <c r="F338" s="15" t="str">
        <f aca="false">IF(A338="","",ROUND(B338-D338,2))</f>
        <v/>
      </c>
    </row>
    <row r="339" customFormat="false" ht="15" hidden="false" customHeight="false" outlineLevel="0" collapsed="false">
      <c r="A339" s="14" t="str">
        <f aca="false">IF(334&gt;$I$12,"",334)</f>
        <v/>
      </c>
      <c r="B339" s="15" t="str">
        <f aca="false">IF(A339="","",F338)</f>
        <v/>
      </c>
      <c r="C339" s="15" t="str">
        <f aca="false">IF(A339="","",ROUND(B339*$I$11,2))</f>
        <v/>
      </c>
      <c r="D339" s="15" t="str">
        <f aca="false">IF(A339="","",IF(A339=$I$12,B339,IF($I$8="Amortissement constant",$I$14,$I$13-C339)))</f>
        <v/>
      </c>
      <c r="E339" s="15" t="str">
        <f aca="false">IF(A339="","",C339+D339)</f>
        <v/>
      </c>
      <c r="F339" s="15" t="str">
        <f aca="false">IF(A339="","",ROUND(B339-D339,2))</f>
        <v/>
      </c>
    </row>
    <row r="340" customFormat="false" ht="15" hidden="false" customHeight="false" outlineLevel="0" collapsed="false">
      <c r="A340" s="14" t="str">
        <f aca="false">IF(335&gt;$I$12,"",335)</f>
        <v/>
      </c>
      <c r="B340" s="15" t="str">
        <f aca="false">IF(A340="","",F339)</f>
        <v/>
      </c>
      <c r="C340" s="15" t="str">
        <f aca="false">IF(A340="","",ROUND(B340*$I$11,2))</f>
        <v/>
      </c>
      <c r="D340" s="15" t="str">
        <f aca="false">IF(A340="","",IF(A340=$I$12,B340,IF($I$8="Amortissement constant",$I$14,$I$13-C340)))</f>
        <v/>
      </c>
      <c r="E340" s="15" t="str">
        <f aca="false">IF(A340="","",C340+D340)</f>
        <v/>
      </c>
      <c r="F340" s="15" t="str">
        <f aca="false">IF(A340="","",ROUND(B340-D340,2))</f>
        <v/>
      </c>
    </row>
    <row r="341" customFormat="false" ht="15" hidden="false" customHeight="false" outlineLevel="0" collapsed="false">
      <c r="A341" s="14" t="str">
        <f aca="false">IF(336&gt;$I$12,"",336)</f>
        <v/>
      </c>
      <c r="B341" s="15" t="str">
        <f aca="false">IF(A341="","",F340)</f>
        <v/>
      </c>
      <c r="C341" s="15" t="str">
        <f aca="false">IF(A341="","",ROUND(B341*$I$11,2))</f>
        <v/>
      </c>
      <c r="D341" s="15" t="str">
        <f aca="false">IF(A341="","",IF(A341=$I$12,B341,IF($I$8="Amortissement constant",$I$14,$I$13-C341)))</f>
        <v/>
      </c>
      <c r="E341" s="15" t="str">
        <f aca="false">IF(A341="","",C341+D341)</f>
        <v/>
      </c>
      <c r="F341" s="15" t="str">
        <f aca="false">IF(A341="","",ROUND(B341-D341,2))</f>
        <v/>
      </c>
    </row>
    <row r="342" customFormat="false" ht="15" hidden="false" customHeight="false" outlineLevel="0" collapsed="false">
      <c r="A342" s="14" t="str">
        <f aca="false">IF(337&gt;$I$12,"",337)</f>
        <v/>
      </c>
      <c r="B342" s="15" t="str">
        <f aca="false">IF(A342="","",F341)</f>
        <v/>
      </c>
      <c r="C342" s="15" t="str">
        <f aca="false">IF(A342="","",ROUND(B342*$I$11,2))</f>
        <v/>
      </c>
      <c r="D342" s="15" t="str">
        <f aca="false">IF(A342="","",IF(A342=$I$12,B342,IF($I$8="Amortissement constant",$I$14,$I$13-C342)))</f>
        <v/>
      </c>
      <c r="E342" s="15" t="str">
        <f aca="false">IF(A342="","",C342+D342)</f>
        <v/>
      </c>
      <c r="F342" s="15" t="str">
        <f aca="false">IF(A342="","",ROUND(B342-D342,2))</f>
        <v/>
      </c>
    </row>
    <row r="343" customFormat="false" ht="15" hidden="false" customHeight="false" outlineLevel="0" collapsed="false">
      <c r="A343" s="14" t="str">
        <f aca="false">IF(338&gt;$I$12,"",338)</f>
        <v/>
      </c>
      <c r="B343" s="15" t="str">
        <f aca="false">IF(A343="","",F342)</f>
        <v/>
      </c>
      <c r="C343" s="15" t="str">
        <f aca="false">IF(A343="","",ROUND(B343*$I$11,2))</f>
        <v/>
      </c>
      <c r="D343" s="15" t="str">
        <f aca="false">IF(A343="","",IF(A343=$I$12,B343,IF($I$8="Amortissement constant",$I$14,$I$13-C343)))</f>
        <v/>
      </c>
      <c r="E343" s="15" t="str">
        <f aca="false">IF(A343="","",C343+D343)</f>
        <v/>
      </c>
      <c r="F343" s="15" t="str">
        <f aca="false">IF(A343="","",ROUND(B343-D343,2))</f>
        <v/>
      </c>
    </row>
    <row r="344" customFormat="false" ht="15" hidden="false" customHeight="false" outlineLevel="0" collapsed="false">
      <c r="A344" s="14" t="str">
        <f aca="false">IF(339&gt;$I$12,"",339)</f>
        <v/>
      </c>
      <c r="B344" s="15" t="str">
        <f aca="false">IF(A344="","",F343)</f>
        <v/>
      </c>
      <c r="C344" s="15" t="str">
        <f aca="false">IF(A344="","",ROUND(B344*$I$11,2))</f>
        <v/>
      </c>
      <c r="D344" s="15" t="str">
        <f aca="false">IF(A344="","",IF(A344=$I$12,B344,IF($I$8="Amortissement constant",$I$14,$I$13-C344)))</f>
        <v/>
      </c>
      <c r="E344" s="15" t="str">
        <f aca="false">IF(A344="","",C344+D344)</f>
        <v/>
      </c>
      <c r="F344" s="15" t="str">
        <f aca="false">IF(A344="","",ROUND(B344-D344,2))</f>
        <v/>
      </c>
    </row>
    <row r="345" customFormat="false" ht="15" hidden="false" customHeight="false" outlineLevel="0" collapsed="false">
      <c r="A345" s="14" t="str">
        <f aca="false">IF(340&gt;$I$12,"",340)</f>
        <v/>
      </c>
      <c r="B345" s="15" t="str">
        <f aca="false">IF(A345="","",F344)</f>
        <v/>
      </c>
      <c r="C345" s="15" t="str">
        <f aca="false">IF(A345="","",ROUND(B345*$I$11,2))</f>
        <v/>
      </c>
      <c r="D345" s="15" t="str">
        <f aca="false">IF(A345="","",IF(A345=$I$12,B345,IF($I$8="Amortissement constant",$I$14,$I$13-C345)))</f>
        <v/>
      </c>
      <c r="E345" s="15" t="str">
        <f aca="false">IF(A345="","",C345+D345)</f>
        <v/>
      </c>
      <c r="F345" s="15" t="str">
        <f aca="false">IF(A345="","",ROUND(B345-D345,2))</f>
        <v/>
      </c>
    </row>
    <row r="346" customFormat="false" ht="15" hidden="false" customHeight="false" outlineLevel="0" collapsed="false">
      <c r="A346" s="14" t="str">
        <f aca="false">IF(341&gt;$I$12,"",341)</f>
        <v/>
      </c>
      <c r="B346" s="15" t="str">
        <f aca="false">IF(A346="","",F345)</f>
        <v/>
      </c>
      <c r="C346" s="15" t="str">
        <f aca="false">IF(A346="","",ROUND(B346*$I$11,2))</f>
        <v/>
      </c>
      <c r="D346" s="15" t="str">
        <f aca="false">IF(A346="","",IF(A346=$I$12,B346,IF($I$8="Amortissement constant",$I$14,$I$13-C346)))</f>
        <v/>
      </c>
      <c r="E346" s="15" t="str">
        <f aca="false">IF(A346="","",C346+D346)</f>
        <v/>
      </c>
      <c r="F346" s="15" t="str">
        <f aca="false">IF(A346="","",ROUND(B346-D346,2))</f>
        <v/>
      </c>
    </row>
    <row r="347" customFormat="false" ht="15" hidden="false" customHeight="false" outlineLevel="0" collapsed="false">
      <c r="A347" s="14" t="str">
        <f aca="false">IF(342&gt;$I$12,"",342)</f>
        <v/>
      </c>
      <c r="B347" s="15" t="str">
        <f aca="false">IF(A347="","",F346)</f>
        <v/>
      </c>
      <c r="C347" s="15" t="str">
        <f aca="false">IF(A347="","",ROUND(B347*$I$11,2))</f>
        <v/>
      </c>
      <c r="D347" s="15" t="str">
        <f aca="false">IF(A347="","",IF(A347=$I$12,B347,IF($I$8="Amortissement constant",$I$14,$I$13-C347)))</f>
        <v/>
      </c>
      <c r="E347" s="15" t="str">
        <f aca="false">IF(A347="","",C347+D347)</f>
        <v/>
      </c>
      <c r="F347" s="15" t="str">
        <f aca="false">IF(A347="","",ROUND(B347-D347,2))</f>
        <v/>
      </c>
    </row>
    <row r="348" customFormat="false" ht="15" hidden="false" customHeight="false" outlineLevel="0" collapsed="false">
      <c r="A348" s="14" t="str">
        <f aca="false">IF(343&gt;$I$12,"",343)</f>
        <v/>
      </c>
      <c r="B348" s="15" t="str">
        <f aca="false">IF(A348="","",F347)</f>
        <v/>
      </c>
      <c r="C348" s="15" t="str">
        <f aca="false">IF(A348="","",ROUND(B348*$I$11,2))</f>
        <v/>
      </c>
      <c r="D348" s="15" t="str">
        <f aca="false">IF(A348="","",IF(A348=$I$12,B348,IF($I$8="Amortissement constant",$I$14,$I$13-C348)))</f>
        <v/>
      </c>
      <c r="E348" s="15" t="str">
        <f aca="false">IF(A348="","",C348+D348)</f>
        <v/>
      </c>
      <c r="F348" s="15" t="str">
        <f aca="false">IF(A348="","",ROUND(B348-D348,2))</f>
        <v/>
      </c>
    </row>
    <row r="349" customFormat="false" ht="15" hidden="false" customHeight="false" outlineLevel="0" collapsed="false">
      <c r="A349" s="14" t="str">
        <f aca="false">IF(344&gt;$I$12,"",344)</f>
        <v/>
      </c>
      <c r="B349" s="15" t="str">
        <f aca="false">IF(A349="","",F348)</f>
        <v/>
      </c>
      <c r="C349" s="15" t="str">
        <f aca="false">IF(A349="","",ROUND(B349*$I$11,2))</f>
        <v/>
      </c>
      <c r="D349" s="15" t="str">
        <f aca="false">IF(A349="","",IF(A349=$I$12,B349,IF($I$8="Amortissement constant",$I$14,$I$13-C349)))</f>
        <v/>
      </c>
      <c r="E349" s="15" t="str">
        <f aca="false">IF(A349="","",C349+D349)</f>
        <v/>
      </c>
      <c r="F349" s="15" t="str">
        <f aca="false">IF(A349="","",ROUND(B349-D349,2))</f>
        <v/>
      </c>
    </row>
    <row r="350" customFormat="false" ht="15" hidden="false" customHeight="false" outlineLevel="0" collapsed="false">
      <c r="A350" s="14" t="str">
        <f aca="false">IF(345&gt;$I$12,"",345)</f>
        <v/>
      </c>
      <c r="B350" s="15" t="str">
        <f aca="false">IF(A350="","",F349)</f>
        <v/>
      </c>
      <c r="C350" s="15" t="str">
        <f aca="false">IF(A350="","",ROUND(B350*$I$11,2))</f>
        <v/>
      </c>
      <c r="D350" s="15" t="str">
        <f aca="false">IF(A350="","",IF(A350=$I$12,B350,IF($I$8="Amortissement constant",$I$14,$I$13-C350)))</f>
        <v/>
      </c>
      <c r="E350" s="15" t="str">
        <f aca="false">IF(A350="","",C350+D350)</f>
        <v/>
      </c>
      <c r="F350" s="15" t="str">
        <f aca="false">IF(A350="","",ROUND(B350-D350,2))</f>
        <v/>
      </c>
    </row>
    <row r="351" customFormat="false" ht="15" hidden="false" customHeight="false" outlineLevel="0" collapsed="false">
      <c r="A351" s="14" t="str">
        <f aca="false">IF(346&gt;$I$12,"",346)</f>
        <v/>
      </c>
      <c r="B351" s="15" t="str">
        <f aca="false">IF(A351="","",F350)</f>
        <v/>
      </c>
      <c r="C351" s="15" t="str">
        <f aca="false">IF(A351="","",ROUND(B351*$I$11,2))</f>
        <v/>
      </c>
      <c r="D351" s="15" t="str">
        <f aca="false">IF(A351="","",IF(A351=$I$12,B351,IF($I$8="Amortissement constant",$I$14,$I$13-C351)))</f>
        <v/>
      </c>
      <c r="E351" s="15" t="str">
        <f aca="false">IF(A351="","",C351+D351)</f>
        <v/>
      </c>
      <c r="F351" s="15" t="str">
        <f aca="false">IF(A351="","",ROUND(B351-D351,2))</f>
        <v/>
      </c>
    </row>
    <row r="352" customFormat="false" ht="15" hidden="false" customHeight="false" outlineLevel="0" collapsed="false">
      <c r="A352" s="14" t="str">
        <f aca="false">IF(347&gt;$I$12,"",347)</f>
        <v/>
      </c>
      <c r="B352" s="15" t="str">
        <f aca="false">IF(A352="","",F351)</f>
        <v/>
      </c>
      <c r="C352" s="15" t="str">
        <f aca="false">IF(A352="","",ROUND(B352*$I$11,2))</f>
        <v/>
      </c>
      <c r="D352" s="15" t="str">
        <f aca="false">IF(A352="","",IF(A352=$I$12,B352,IF($I$8="Amortissement constant",$I$14,$I$13-C352)))</f>
        <v/>
      </c>
      <c r="E352" s="15" t="str">
        <f aca="false">IF(A352="","",C352+D352)</f>
        <v/>
      </c>
      <c r="F352" s="15" t="str">
        <f aca="false">IF(A352="","",ROUND(B352-D352,2))</f>
        <v/>
      </c>
    </row>
    <row r="353" customFormat="false" ht="15" hidden="false" customHeight="false" outlineLevel="0" collapsed="false">
      <c r="A353" s="14" t="str">
        <f aca="false">IF(348&gt;$I$12,"",348)</f>
        <v/>
      </c>
      <c r="B353" s="15" t="str">
        <f aca="false">IF(A353="","",F352)</f>
        <v/>
      </c>
      <c r="C353" s="15" t="str">
        <f aca="false">IF(A353="","",ROUND(B353*$I$11,2))</f>
        <v/>
      </c>
      <c r="D353" s="15" t="str">
        <f aca="false">IF(A353="","",IF(A353=$I$12,B353,IF($I$8="Amortissement constant",$I$14,$I$13-C353)))</f>
        <v/>
      </c>
      <c r="E353" s="15" t="str">
        <f aca="false">IF(A353="","",C353+D353)</f>
        <v/>
      </c>
      <c r="F353" s="15" t="str">
        <f aca="false">IF(A353="","",ROUND(B353-D353,2))</f>
        <v/>
      </c>
    </row>
    <row r="354" customFormat="false" ht="15" hidden="false" customHeight="false" outlineLevel="0" collapsed="false">
      <c r="A354" s="14" t="str">
        <f aca="false">IF(349&gt;$I$12,"",349)</f>
        <v/>
      </c>
      <c r="B354" s="15" t="str">
        <f aca="false">IF(A354="","",F353)</f>
        <v/>
      </c>
      <c r="C354" s="15" t="str">
        <f aca="false">IF(A354="","",ROUND(B354*$I$11,2))</f>
        <v/>
      </c>
      <c r="D354" s="15" t="str">
        <f aca="false">IF(A354="","",IF(A354=$I$12,B354,IF($I$8="Amortissement constant",$I$14,$I$13-C354)))</f>
        <v/>
      </c>
      <c r="E354" s="15" t="str">
        <f aca="false">IF(A354="","",C354+D354)</f>
        <v/>
      </c>
      <c r="F354" s="15" t="str">
        <f aca="false">IF(A354="","",ROUND(B354-D354,2))</f>
        <v/>
      </c>
    </row>
    <row r="355" customFormat="false" ht="15" hidden="false" customHeight="false" outlineLevel="0" collapsed="false">
      <c r="A355" s="14" t="str">
        <f aca="false">IF(350&gt;$I$12,"",350)</f>
        <v/>
      </c>
      <c r="B355" s="15" t="str">
        <f aca="false">IF(A355="","",F354)</f>
        <v/>
      </c>
      <c r="C355" s="15" t="str">
        <f aca="false">IF(A355="","",ROUND(B355*$I$11,2))</f>
        <v/>
      </c>
      <c r="D355" s="15" t="str">
        <f aca="false">IF(A355="","",IF(A355=$I$12,B355,IF($I$8="Amortissement constant",$I$14,$I$13-C355)))</f>
        <v/>
      </c>
      <c r="E355" s="15" t="str">
        <f aca="false">IF(A355="","",C355+D355)</f>
        <v/>
      </c>
      <c r="F355" s="15" t="str">
        <f aca="false">IF(A355="","",ROUND(B355-D355,2))</f>
        <v/>
      </c>
    </row>
    <row r="356" customFormat="false" ht="15" hidden="false" customHeight="false" outlineLevel="0" collapsed="false">
      <c r="A356" s="14" t="str">
        <f aca="false">IF(351&gt;$I$12,"",351)</f>
        <v/>
      </c>
      <c r="B356" s="15" t="str">
        <f aca="false">IF(A356="","",F355)</f>
        <v/>
      </c>
      <c r="C356" s="15" t="str">
        <f aca="false">IF(A356="","",ROUND(B356*$I$11,2))</f>
        <v/>
      </c>
      <c r="D356" s="15" t="str">
        <f aca="false">IF(A356="","",IF(A356=$I$12,B356,IF($I$8="Amortissement constant",$I$14,$I$13-C356)))</f>
        <v/>
      </c>
      <c r="E356" s="15" t="str">
        <f aca="false">IF(A356="","",C356+D356)</f>
        <v/>
      </c>
      <c r="F356" s="15" t="str">
        <f aca="false">IF(A356="","",ROUND(B356-D356,2))</f>
        <v/>
      </c>
    </row>
    <row r="357" customFormat="false" ht="15" hidden="false" customHeight="false" outlineLevel="0" collapsed="false">
      <c r="A357" s="14" t="str">
        <f aca="false">IF(352&gt;$I$12,"",352)</f>
        <v/>
      </c>
      <c r="B357" s="15" t="str">
        <f aca="false">IF(A357="","",F356)</f>
        <v/>
      </c>
      <c r="C357" s="15" t="str">
        <f aca="false">IF(A357="","",ROUND(B357*$I$11,2))</f>
        <v/>
      </c>
      <c r="D357" s="15" t="str">
        <f aca="false">IF(A357="","",IF(A357=$I$12,B357,IF($I$8="Amortissement constant",$I$14,$I$13-C357)))</f>
        <v/>
      </c>
      <c r="E357" s="15" t="str">
        <f aca="false">IF(A357="","",C357+D357)</f>
        <v/>
      </c>
      <c r="F357" s="15" t="str">
        <f aca="false">IF(A357="","",ROUND(B357-D357,2))</f>
        <v/>
      </c>
    </row>
    <row r="358" customFormat="false" ht="15" hidden="false" customHeight="false" outlineLevel="0" collapsed="false">
      <c r="A358" s="14" t="str">
        <f aca="false">IF(353&gt;$I$12,"",353)</f>
        <v/>
      </c>
      <c r="B358" s="15" t="str">
        <f aca="false">IF(A358="","",F357)</f>
        <v/>
      </c>
      <c r="C358" s="15" t="str">
        <f aca="false">IF(A358="","",ROUND(B358*$I$11,2))</f>
        <v/>
      </c>
      <c r="D358" s="15" t="str">
        <f aca="false">IF(A358="","",IF(A358=$I$12,B358,IF($I$8="Amortissement constant",$I$14,$I$13-C358)))</f>
        <v/>
      </c>
      <c r="E358" s="15" t="str">
        <f aca="false">IF(A358="","",C358+D358)</f>
        <v/>
      </c>
      <c r="F358" s="15" t="str">
        <f aca="false">IF(A358="","",ROUND(B358-D358,2))</f>
        <v/>
      </c>
    </row>
    <row r="359" customFormat="false" ht="15" hidden="false" customHeight="false" outlineLevel="0" collapsed="false">
      <c r="A359" s="14" t="str">
        <f aca="false">IF(354&gt;$I$12,"",354)</f>
        <v/>
      </c>
      <c r="B359" s="15" t="str">
        <f aca="false">IF(A359="","",F358)</f>
        <v/>
      </c>
      <c r="C359" s="15" t="str">
        <f aca="false">IF(A359="","",ROUND(B359*$I$11,2))</f>
        <v/>
      </c>
      <c r="D359" s="15" t="str">
        <f aca="false">IF(A359="","",IF(A359=$I$12,B359,IF($I$8="Amortissement constant",$I$14,$I$13-C359)))</f>
        <v/>
      </c>
      <c r="E359" s="15" t="str">
        <f aca="false">IF(A359="","",C359+D359)</f>
        <v/>
      </c>
      <c r="F359" s="15" t="str">
        <f aca="false">IF(A359="","",ROUND(B359-D359,2))</f>
        <v/>
      </c>
    </row>
    <row r="360" customFormat="false" ht="15" hidden="false" customHeight="false" outlineLevel="0" collapsed="false">
      <c r="A360" s="14" t="str">
        <f aca="false">IF(355&gt;$I$12,"",355)</f>
        <v/>
      </c>
      <c r="B360" s="15" t="str">
        <f aca="false">IF(A360="","",F359)</f>
        <v/>
      </c>
      <c r="C360" s="15" t="str">
        <f aca="false">IF(A360="","",ROUND(B360*$I$11,2))</f>
        <v/>
      </c>
      <c r="D360" s="15" t="str">
        <f aca="false">IF(A360="","",IF(A360=$I$12,B360,IF($I$8="Amortissement constant",$I$14,$I$13-C360)))</f>
        <v/>
      </c>
      <c r="E360" s="15" t="str">
        <f aca="false">IF(A360="","",C360+D360)</f>
        <v/>
      </c>
      <c r="F360" s="15" t="str">
        <f aca="false">IF(A360="","",ROUND(B360-D360,2))</f>
        <v/>
      </c>
    </row>
    <row r="361" customFormat="false" ht="15" hidden="false" customHeight="false" outlineLevel="0" collapsed="false">
      <c r="A361" s="14" t="str">
        <f aca="false">IF(356&gt;$I$12,"",356)</f>
        <v/>
      </c>
      <c r="B361" s="15" t="str">
        <f aca="false">IF(A361="","",F360)</f>
        <v/>
      </c>
      <c r="C361" s="15" t="str">
        <f aca="false">IF(A361="","",ROUND(B361*$I$11,2))</f>
        <v/>
      </c>
      <c r="D361" s="15" t="str">
        <f aca="false">IF(A361="","",IF(A361=$I$12,B361,IF($I$8="Amortissement constant",$I$14,$I$13-C361)))</f>
        <v/>
      </c>
      <c r="E361" s="15" t="str">
        <f aca="false">IF(A361="","",C361+D361)</f>
        <v/>
      </c>
      <c r="F361" s="15" t="str">
        <f aca="false">IF(A361="","",ROUND(B361-D361,2))</f>
        <v/>
      </c>
    </row>
    <row r="362" customFormat="false" ht="15" hidden="false" customHeight="false" outlineLevel="0" collapsed="false">
      <c r="A362" s="14" t="str">
        <f aca="false">IF(357&gt;$I$12,"",357)</f>
        <v/>
      </c>
      <c r="B362" s="15" t="str">
        <f aca="false">IF(A362="","",F361)</f>
        <v/>
      </c>
      <c r="C362" s="15" t="str">
        <f aca="false">IF(A362="","",ROUND(B362*$I$11,2))</f>
        <v/>
      </c>
      <c r="D362" s="15" t="str">
        <f aca="false">IF(A362="","",IF(A362=$I$12,B362,IF($I$8="Amortissement constant",$I$14,$I$13-C362)))</f>
        <v/>
      </c>
      <c r="E362" s="15" t="str">
        <f aca="false">IF(A362="","",C362+D362)</f>
        <v/>
      </c>
      <c r="F362" s="15" t="str">
        <f aca="false">IF(A362="","",ROUND(B362-D362,2))</f>
        <v/>
      </c>
    </row>
    <row r="363" customFormat="false" ht="15" hidden="false" customHeight="false" outlineLevel="0" collapsed="false">
      <c r="A363" s="14" t="str">
        <f aca="false">IF(358&gt;$I$12,"",358)</f>
        <v/>
      </c>
      <c r="B363" s="15" t="str">
        <f aca="false">IF(A363="","",F362)</f>
        <v/>
      </c>
      <c r="C363" s="15" t="str">
        <f aca="false">IF(A363="","",ROUND(B363*$I$11,2))</f>
        <v/>
      </c>
      <c r="D363" s="15" t="str">
        <f aca="false">IF(A363="","",IF(A363=$I$12,B363,IF($I$8="Amortissement constant",$I$14,$I$13-C363)))</f>
        <v/>
      </c>
      <c r="E363" s="15" t="str">
        <f aca="false">IF(A363="","",C363+D363)</f>
        <v/>
      </c>
      <c r="F363" s="15" t="str">
        <f aca="false">IF(A363="","",ROUND(B363-D363,2))</f>
        <v/>
      </c>
    </row>
    <row r="364" customFormat="false" ht="15" hidden="false" customHeight="false" outlineLevel="0" collapsed="false">
      <c r="A364" s="14" t="str">
        <f aca="false">IF(359&gt;$I$12,"",359)</f>
        <v/>
      </c>
      <c r="B364" s="15" t="str">
        <f aca="false">IF(A364="","",F363)</f>
        <v/>
      </c>
      <c r="C364" s="15" t="str">
        <f aca="false">IF(A364="","",ROUND(B364*$I$11,2))</f>
        <v/>
      </c>
      <c r="D364" s="15" t="str">
        <f aca="false">IF(A364="","",IF(A364=$I$12,B364,IF($I$8="Amortissement constant",$I$14,$I$13-C364)))</f>
        <v/>
      </c>
      <c r="E364" s="15" t="str">
        <f aca="false">IF(A364="","",C364+D364)</f>
        <v/>
      </c>
      <c r="F364" s="15" t="str">
        <f aca="false">IF(A364="","",ROUND(B364-D364,2))</f>
        <v/>
      </c>
    </row>
    <row r="365" customFormat="false" ht="15" hidden="false" customHeight="false" outlineLevel="0" collapsed="false">
      <c r="A365" s="14" t="str">
        <f aca="false">IF(360&gt;$I$12,"",360)</f>
        <v/>
      </c>
      <c r="B365" s="15" t="str">
        <f aca="false">IF(A365="","",F364)</f>
        <v/>
      </c>
      <c r="C365" s="15" t="str">
        <f aca="false">IF(A365="","",ROUND(B365*$I$11,2))</f>
        <v/>
      </c>
      <c r="D365" s="15" t="str">
        <f aca="false">IF(A365="","",IF(A365=$I$12,B365,IF($I$8="Amortissement constant",$I$14,$I$13-C365)))</f>
        <v/>
      </c>
      <c r="E365" s="15" t="str">
        <f aca="false">IF(A365="","",C365+D365)</f>
        <v/>
      </c>
      <c r="F365" s="15" t="str">
        <f aca="false">IF(A365="","",ROUND(B365-D365,2))</f>
        <v/>
      </c>
    </row>
  </sheetData>
  <dataValidations count="3">
    <dataValidation allowBlank="false" errorStyle="stop" operator="between" showDropDown="false" showErrorMessage="false" showInputMessage="false" sqref="I8" type="list">
      <formula1>"Annuités constantes,Amortissement constant"</formula1>
      <formula2>0</formula2>
    </dataValidation>
    <dataValidation allowBlank="false" errorStyle="stop" operator="between" showDropDown="false" showErrorMessage="false" showInputMessage="false" sqref="I9" type="list">
      <formula1>"au centime,à l’euro"</formula1>
      <formula2>0</formula2>
    </dataValidation>
    <dataValidation allowBlank="false" errorStyle="stop" operator="between" showDropDown="false" showErrorMessage="false" showInputMessage="false" sqref="I7" type="list">
      <formula1>"12,4,2,1"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2026-10-16T14:13:25Z</dcterms:created>
  <dc:creator>openpyxl</dc:creator>
  <dc:description/>
  <dc:language>en-US</dc:language>
  <cp:lastModifiedBy/>
  <dcterms:modified xsi:type="dcterms:W3CDTF">2026-10-16T14:13:25Z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